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showInkAnnotation="0" codeName="ThisWorkbook" autoCompressPictures="0"/>
  <mc:AlternateContent xmlns:mc="http://schemas.openxmlformats.org/markup-compatibility/2006">
    <mc:Choice Requires="x15">
      <x15ac:absPath xmlns:x15ac="http://schemas.microsoft.com/office/spreadsheetml/2010/11/ac" url="G:\EICC revised\"/>
    </mc:Choice>
  </mc:AlternateContent>
  <workbookProtection workbookPassword="E985" lockStructure="1"/>
  <bookViews>
    <workbookView xWindow="0" yWindow="0" windowWidth="28800" windowHeight="12360" tabRatio="792" activeTab="3"/>
  </bookViews>
  <sheets>
    <sheet name="Revision" sheetId="1" r:id="rId1"/>
    <sheet name="Instructions" sheetId="2" r:id="rId2"/>
    <sheet name="Definitions" sheetId="3" r:id="rId3"/>
    <sheet name="Declaration" sheetId="4" r:id="rId4"/>
    <sheet name="Smelter List" sheetId="16" r:id="rId5"/>
    <sheet name="Checker" sheetId="10" r:id="rId6"/>
    <sheet name="Product List" sheetId="11" r:id="rId7"/>
    <sheet name="Smelter Reference List" sheetId="14" r:id="rId8"/>
    <sheet name="L" sheetId="13" state="hidden" r:id="rId9"/>
    <sheet name="C" sheetId="15" state="hidden" r:id="rId10"/>
  </sheets>
  <definedNames>
    <definedName name="_xlnm._FilterDatabase" localSheetId="5" hidden="1">Checker!$B$3:$C$67</definedName>
    <definedName name="_xlnm._FilterDatabase" localSheetId="4" hidden="1">'Smelter List'!$B$4:$Q$4</definedName>
    <definedName name="_xlnm._FilterDatabase" localSheetId="7" hidden="1">'Smelter Reference List'!$A$4:$K$544</definedName>
    <definedName name="CL" comment="CountryList">'C'!$A$2:$A$240</definedName>
    <definedName name="LN" comment="language list for dropdown">L!$D$1:$M$1</definedName>
    <definedName name="Metal" comment="metal list for dropdown" localSheetId="4">'Smelter List'!$T$3:$W$3</definedName>
    <definedName name="MetalSmelter">'Smelter Reference List'!$J$5:$J$1017</definedName>
    <definedName name="_xlnm.Print_Area" localSheetId="3">Declaration!$A$1:$L$90</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Reference List'!$L$5:$L$338</definedName>
    <definedName name="SmelterIdetifiedForMetal">'Smelter List'!$B$5:$B$1287</definedName>
    <definedName name="SN" comment="smelter list for dropdown">OFFSET('Smelter Reference List'!$B$4,MATCH(!$B1,'Smelter Reference List'!$A:$A,0)-4,0,COUNTIF('Smelter Reference List'!$A:$A,!$B1),1)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List'!$S:$V</definedName>
  </definedNames>
  <calcPr calcId="171027"/>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J281" i="14" l="1"/>
  <c r="K281" i="14"/>
  <c r="B1282" i="16"/>
  <c r="C1282" i="16"/>
  <c r="S1282" i="16" s="1"/>
  <c r="C966" i="16"/>
  <c r="S966" i="16" s="1"/>
  <c r="E966" i="16" s="1"/>
  <c r="B966" i="16"/>
  <c r="P3" i="4"/>
  <c r="J195" i="14"/>
  <c r="K195" i="14"/>
  <c r="K244" i="14"/>
  <c r="J244" i="14"/>
  <c r="K243" i="14"/>
  <c r="J243" i="14"/>
  <c r="K309" i="14"/>
  <c r="J309" i="14"/>
  <c r="K308" i="14"/>
  <c r="J308" i="14"/>
  <c r="K465" i="14"/>
  <c r="J465" i="14"/>
  <c r="K464" i="14"/>
  <c r="J464" i="14"/>
  <c r="C260" i="16"/>
  <c r="C261" i="16"/>
  <c r="S261" i="16" s="1"/>
  <c r="C262" i="16"/>
  <c r="C263" i="16"/>
  <c r="C264" i="16"/>
  <c r="S264" i="16" s="1"/>
  <c r="C265" i="16"/>
  <c r="C266" i="16"/>
  <c r="S266" i="16" s="1"/>
  <c r="C267" i="16"/>
  <c r="C268" i="16"/>
  <c r="C269" i="16"/>
  <c r="S269" i="16" s="1"/>
  <c r="C270" i="16"/>
  <c r="C271" i="16"/>
  <c r="C272" i="16"/>
  <c r="C273" i="16"/>
  <c r="C274" i="16"/>
  <c r="C275" i="16"/>
  <c r="C276" i="16"/>
  <c r="S276" i="16" s="1"/>
  <c r="F276" i="16" s="1"/>
  <c r="C277" i="16"/>
  <c r="C278" i="16"/>
  <c r="C279" i="16"/>
  <c r="C280" i="16"/>
  <c r="S280" i="16" s="1"/>
  <c r="C281" i="16"/>
  <c r="C282" i="16"/>
  <c r="C283" i="16"/>
  <c r="C284" i="16"/>
  <c r="S284" i="16" s="1"/>
  <c r="D284" i="16" s="1"/>
  <c r="C285" i="16"/>
  <c r="S285" i="16" s="1"/>
  <c r="C286" i="16"/>
  <c r="C287" i="16"/>
  <c r="C288" i="16"/>
  <c r="S288" i="16" s="1"/>
  <c r="F288" i="16" s="1"/>
  <c r="C289" i="16"/>
  <c r="S289" i="16" s="1"/>
  <c r="C290" i="16"/>
  <c r="S290" i="16" s="1"/>
  <c r="C291" i="16"/>
  <c r="C292" i="16"/>
  <c r="S292" i="16" s="1"/>
  <c r="C293" i="16"/>
  <c r="C294" i="16"/>
  <c r="C295" i="16"/>
  <c r="S295" i="16" s="1"/>
  <c r="E295" i="16" s="1"/>
  <c r="C296" i="16"/>
  <c r="S296" i="16" s="1"/>
  <c r="C297" i="16"/>
  <c r="C298" i="16"/>
  <c r="S298" i="16" s="1"/>
  <c r="C299" i="16"/>
  <c r="C300" i="16"/>
  <c r="C301" i="16"/>
  <c r="S301" i="16" s="1"/>
  <c r="C302" i="16"/>
  <c r="C303" i="16"/>
  <c r="S303" i="16" s="1"/>
  <c r="E303" i="16" s="1"/>
  <c r="C304" i="16"/>
  <c r="S304" i="16" s="1"/>
  <c r="C305" i="16"/>
  <c r="C306" i="16"/>
  <c r="C307" i="16"/>
  <c r="C308" i="16"/>
  <c r="S308" i="16" s="1"/>
  <c r="C309" i="16"/>
  <c r="C310" i="16"/>
  <c r="C311" i="16"/>
  <c r="C312" i="16"/>
  <c r="C313" i="16"/>
  <c r="C314" i="16"/>
  <c r="S314" i="16" s="1"/>
  <c r="C315" i="16"/>
  <c r="C316" i="16"/>
  <c r="S316" i="16" s="1"/>
  <c r="C317" i="16"/>
  <c r="S317" i="16" s="1"/>
  <c r="I317" i="16" s="1"/>
  <c r="C318" i="16"/>
  <c r="C319" i="16"/>
  <c r="S319" i="16" s="1"/>
  <c r="C320" i="16"/>
  <c r="S320" i="16" s="1"/>
  <c r="J320" i="16" s="1"/>
  <c r="C321" i="16"/>
  <c r="C322" i="16"/>
  <c r="S322" i="16" s="1"/>
  <c r="C323" i="16"/>
  <c r="C324" i="16"/>
  <c r="C325" i="16"/>
  <c r="S325" i="16" s="1"/>
  <c r="C326" i="16"/>
  <c r="C327" i="16"/>
  <c r="C328" i="16"/>
  <c r="C329" i="16"/>
  <c r="S329" i="16" s="1"/>
  <c r="D329" i="16" s="1"/>
  <c r="C330" i="16"/>
  <c r="C331" i="16"/>
  <c r="S331" i="16" s="1"/>
  <c r="C332" i="16"/>
  <c r="C333" i="16"/>
  <c r="S333" i="16" s="1"/>
  <c r="J333" i="16" s="1"/>
  <c r="C334" i="16"/>
  <c r="C335" i="16"/>
  <c r="C336" i="16"/>
  <c r="C337" i="16"/>
  <c r="C338" i="16"/>
  <c r="C339" i="16"/>
  <c r="S339" i="16" s="1"/>
  <c r="C340" i="16"/>
  <c r="S340" i="16" s="1"/>
  <c r="C341" i="16"/>
  <c r="C342" i="16"/>
  <c r="C343" i="16"/>
  <c r="S343" i="16" s="1"/>
  <c r="C344" i="16"/>
  <c r="S344" i="16" s="1"/>
  <c r="D344" i="16" s="1"/>
  <c r="C345" i="16"/>
  <c r="S345" i="16" s="1"/>
  <c r="I345" i="16" s="1"/>
  <c r="C346" i="16"/>
  <c r="S346" i="16" s="1"/>
  <c r="C347" i="16"/>
  <c r="C348" i="16"/>
  <c r="S348" i="16" s="1"/>
  <c r="D348" i="16" s="1"/>
  <c r="C349" i="16"/>
  <c r="C350" i="16"/>
  <c r="C351" i="16"/>
  <c r="C352" i="16"/>
  <c r="S352" i="16" s="1"/>
  <c r="C353" i="16"/>
  <c r="C354" i="16"/>
  <c r="C355" i="16"/>
  <c r="S355" i="16" s="1"/>
  <c r="F355" i="16" s="1"/>
  <c r="C356" i="16"/>
  <c r="S356" i="16" s="1"/>
  <c r="C357" i="16"/>
  <c r="C358" i="16"/>
  <c r="C359" i="16"/>
  <c r="S359" i="16" s="1"/>
  <c r="H359" i="16" s="1"/>
  <c r="C360" i="16"/>
  <c r="C361" i="16"/>
  <c r="S361" i="16" s="1"/>
  <c r="E361" i="16" s="1"/>
  <c r="C362" i="16"/>
  <c r="C363" i="16"/>
  <c r="C364" i="16"/>
  <c r="S364" i="16" s="1"/>
  <c r="C365" i="16"/>
  <c r="C366" i="16"/>
  <c r="C367" i="16"/>
  <c r="S367" i="16" s="1"/>
  <c r="C368" i="16"/>
  <c r="S368" i="16" s="1"/>
  <c r="C369" i="16"/>
  <c r="C370" i="16"/>
  <c r="S370" i="16" s="1"/>
  <c r="F370" i="16" s="1"/>
  <c r="C371" i="16"/>
  <c r="C372" i="16"/>
  <c r="S372" i="16" s="1"/>
  <c r="C373" i="16"/>
  <c r="C374" i="16"/>
  <c r="C375" i="16"/>
  <c r="S375" i="16" s="1"/>
  <c r="C376" i="16"/>
  <c r="S376" i="16" s="1"/>
  <c r="C377" i="16"/>
  <c r="C378" i="16"/>
  <c r="C379" i="16"/>
  <c r="C380" i="16"/>
  <c r="C381" i="16"/>
  <c r="C382" i="16"/>
  <c r="C383" i="16"/>
  <c r="S383" i="16" s="1"/>
  <c r="C384" i="16"/>
  <c r="C385" i="16"/>
  <c r="C386" i="16"/>
  <c r="C387" i="16"/>
  <c r="C388" i="16"/>
  <c r="C389" i="16"/>
  <c r="S389" i="16" s="1"/>
  <c r="C390" i="16"/>
  <c r="C391" i="16"/>
  <c r="C392" i="16"/>
  <c r="S392" i="16" s="1"/>
  <c r="C393" i="16"/>
  <c r="C394" i="16"/>
  <c r="C395" i="16"/>
  <c r="C396" i="16"/>
  <c r="S396" i="16" s="1"/>
  <c r="C397" i="16"/>
  <c r="C398" i="16"/>
  <c r="C399" i="16"/>
  <c r="S399" i="16" s="1"/>
  <c r="J399" i="16" s="1"/>
  <c r="C400" i="16"/>
  <c r="C401" i="16"/>
  <c r="C402" i="16"/>
  <c r="S402" i="16" s="1"/>
  <c r="C403" i="16"/>
  <c r="S403" i="16" s="1"/>
  <c r="C404" i="16"/>
  <c r="S404" i="16" s="1"/>
  <c r="C405" i="16"/>
  <c r="S405" i="16" s="1"/>
  <c r="C406" i="16"/>
  <c r="C407" i="16"/>
  <c r="C408" i="16"/>
  <c r="C409" i="16"/>
  <c r="C410" i="16"/>
  <c r="S410" i="16" s="1"/>
  <c r="C411" i="16"/>
  <c r="C412" i="16"/>
  <c r="S412" i="16" s="1"/>
  <c r="I412" i="16" s="1"/>
  <c r="C413" i="16"/>
  <c r="S413" i="16" s="1"/>
  <c r="C414" i="16"/>
  <c r="C415" i="16"/>
  <c r="C416" i="16"/>
  <c r="C417" i="16"/>
  <c r="C418" i="16"/>
  <c r="C419" i="16"/>
  <c r="C420" i="16"/>
  <c r="C421" i="16"/>
  <c r="C422" i="16"/>
  <c r="C423" i="16"/>
  <c r="C424" i="16"/>
  <c r="C425" i="16"/>
  <c r="C426" i="16"/>
  <c r="C427" i="16"/>
  <c r="C428" i="16"/>
  <c r="C429" i="16"/>
  <c r="S429" i="16" s="1"/>
  <c r="C430" i="16"/>
  <c r="C431" i="16"/>
  <c r="S431" i="16" s="1"/>
  <c r="E431" i="16" s="1"/>
  <c r="C432" i="16"/>
  <c r="C433" i="16"/>
  <c r="C434" i="16"/>
  <c r="S434" i="16" s="1"/>
  <c r="C435" i="16"/>
  <c r="C436" i="16"/>
  <c r="C437" i="16"/>
  <c r="S437" i="16" s="1"/>
  <c r="I437" i="16" s="1"/>
  <c r="C438" i="16"/>
  <c r="C439" i="16"/>
  <c r="S439" i="16" s="1"/>
  <c r="F439" i="16" s="1"/>
  <c r="C440" i="16"/>
  <c r="C441" i="16"/>
  <c r="C442" i="16"/>
  <c r="C443" i="16"/>
  <c r="C444" i="16"/>
  <c r="S444" i="16" s="1"/>
  <c r="D444" i="16" s="1"/>
  <c r="C445" i="16"/>
  <c r="S445" i="16" s="1"/>
  <c r="C446" i="16"/>
  <c r="C447" i="16"/>
  <c r="C448" i="16"/>
  <c r="C449" i="16"/>
  <c r="S449" i="16" s="1"/>
  <c r="E449" i="16" s="1"/>
  <c r="C450" i="16"/>
  <c r="C451" i="16"/>
  <c r="C452" i="16"/>
  <c r="C453" i="16"/>
  <c r="S453" i="16" s="1"/>
  <c r="H453" i="16" s="1"/>
  <c r="C454" i="16"/>
  <c r="C455" i="16"/>
  <c r="S455" i="16" s="1"/>
  <c r="I455" i="16" s="1"/>
  <c r="C456" i="16"/>
  <c r="C457" i="16"/>
  <c r="S457" i="16" s="1"/>
  <c r="C458" i="16"/>
  <c r="C459" i="16"/>
  <c r="C460" i="16"/>
  <c r="C461" i="16"/>
  <c r="C462" i="16"/>
  <c r="C463" i="16"/>
  <c r="C464" i="16"/>
  <c r="C465" i="16"/>
  <c r="S465" i="16" s="1"/>
  <c r="C466" i="16"/>
  <c r="C467" i="16"/>
  <c r="C468" i="16"/>
  <c r="S468" i="16" s="1"/>
  <c r="C469" i="16"/>
  <c r="S469" i="16" s="1"/>
  <c r="C470" i="16"/>
  <c r="C471" i="16"/>
  <c r="S471" i="16" s="1"/>
  <c r="C472" i="16"/>
  <c r="C473" i="16"/>
  <c r="S473" i="16" s="1"/>
  <c r="C474" i="16"/>
  <c r="C475" i="16"/>
  <c r="S475" i="16" s="1"/>
  <c r="J475" i="16" s="1"/>
  <c r="C476" i="16"/>
  <c r="C477" i="16"/>
  <c r="C478" i="16"/>
  <c r="C479" i="16"/>
  <c r="S479" i="16" s="1"/>
  <c r="C480" i="16"/>
  <c r="C481" i="16"/>
  <c r="C482" i="16"/>
  <c r="C483" i="16"/>
  <c r="S483" i="16" s="1"/>
  <c r="C484" i="16"/>
  <c r="S484" i="16" s="1"/>
  <c r="E484" i="16" s="1"/>
  <c r="C485" i="16"/>
  <c r="S485" i="16" s="1"/>
  <c r="G485" i="16" s="1"/>
  <c r="C486" i="16"/>
  <c r="C487" i="16"/>
  <c r="C488" i="16"/>
  <c r="C489" i="16"/>
  <c r="C490" i="16"/>
  <c r="S490" i="16" s="1"/>
  <c r="H490" i="16" s="1"/>
  <c r="C491" i="16"/>
  <c r="C492" i="16"/>
  <c r="C493" i="16"/>
  <c r="C494" i="16"/>
  <c r="C495" i="16"/>
  <c r="S495" i="16" s="1"/>
  <c r="C496" i="16"/>
  <c r="C497" i="16"/>
  <c r="S497" i="16" s="1"/>
  <c r="C498" i="16"/>
  <c r="C499" i="16"/>
  <c r="C500" i="16"/>
  <c r="C501" i="16"/>
  <c r="C502" i="16"/>
  <c r="C503" i="16"/>
  <c r="S503" i="16" s="1"/>
  <c r="C504" i="16"/>
  <c r="S504" i="16" s="1"/>
  <c r="J504" i="16" s="1"/>
  <c r="C505" i="16"/>
  <c r="C506" i="16"/>
  <c r="C507" i="16"/>
  <c r="S507" i="16" s="1"/>
  <c r="C508" i="16"/>
  <c r="S508" i="16" s="1"/>
  <c r="J508" i="16" s="1"/>
  <c r="C509" i="16"/>
  <c r="C510" i="16"/>
  <c r="C511" i="16"/>
  <c r="C512" i="16"/>
  <c r="S512" i="16" s="1"/>
  <c r="C513" i="16"/>
  <c r="C514" i="16"/>
  <c r="C515" i="16"/>
  <c r="S515" i="16" s="1"/>
  <c r="C516" i="16"/>
  <c r="C517" i="16"/>
  <c r="S517" i="16" s="1"/>
  <c r="D517" i="16" s="1"/>
  <c r="C518" i="16"/>
  <c r="C519" i="16"/>
  <c r="C520" i="16"/>
  <c r="C521" i="16"/>
  <c r="C522" i="16"/>
  <c r="C523" i="16"/>
  <c r="C524" i="16"/>
  <c r="C525" i="16"/>
  <c r="C526" i="16"/>
  <c r="C527" i="16"/>
  <c r="C528" i="16"/>
  <c r="S528" i="16" s="1"/>
  <c r="D528" i="16" s="1"/>
  <c r="C529" i="16"/>
  <c r="C530" i="16"/>
  <c r="C531" i="16"/>
  <c r="C532" i="16"/>
  <c r="S532" i="16" s="1"/>
  <c r="C533" i="16"/>
  <c r="S533" i="16" s="1"/>
  <c r="C534" i="16"/>
  <c r="C535" i="16"/>
  <c r="S535" i="16" s="1"/>
  <c r="I535" i="16" s="1"/>
  <c r="C536" i="16"/>
  <c r="C537" i="16"/>
  <c r="C538" i="16"/>
  <c r="C539" i="16"/>
  <c r="S539" i="16" s="1"/>
  <c r="C540" i="16"/>
  <c r="S540" i="16" s="1"/>
  <c r="C541" i="16"/>
  <c r="C542" i="16"/>
  <c r="C543" i="16"/>
  <c r="C544" i="16"/>
  <c r="C545" i="16"/>
  <c r="C546" i="16"/>
  <c r="C547" i="16"/>
  <c r="C548" i="16"/>
  <c r="S548" i="16" s="1"/>
  <c r="C549" i="16"/>
  <c r="C550" i="16"/>
  <c r="S550" i="16" s="1"/>
  <c r="C551" i="16"/>
  <c r="S551" i="16" s="1"/>
  <c r="C552" i="16"/>
  <c r="C553" i="16"/>
  <c r="S553" i="16" s="1"/>
  <c r="J553" i="16" s="1"/>
  <c r="C554" i="16"/>
  <c r="C555" i="16"/>
  <c r="C556" i="16"/>
  <c r="C557" i="16"/>
  <c r="S557" i="16" s="1"/>
  <c r="H557" i="16" s="1"/>
  <c r="C558" i="16"/>
  <c r="S558" i="16" s="1"/>
  <c r="C559" i="16"/>
  <c r="C560" i="16"/>
  <c r="C561" i="16"/>
  <c r="S561" i="16" s="1"/>
  <c r="F561" i="16" s="1"/>
  <c r="C562" i="16"/>
  <c r="S562" i="16" s="1"/>
  <c r="E562" i="16" s="1"/>
  <c r="C563" i="16"/>
  <c r="C564" i="16"/>
  <c r="S564" i="16" s="1"/>
  <c r="G564" i="16" s="1"/>
  <c r="C565" i="16"/>
  <c r="S565" i="16" s="1"/>
  <c r="D565" i="16" s="1"/>
  <c r="C566" i="16"/>
  <c r="C567" i="16"/>
  <c r="S567" i="16" s="1"/>
  <c r="E567" i="16" s="1"/>
  <c r="C568" i="16"/>
  <c r="S568" i="16" s="1"/>
  <c r="C569" i="16"/>
  <c r="C570" i="16"/>
  <c r="S570" i="16" s="1"/>
  <c r="H570" i="16" s="1"/>
  <c r="C571" i="16"/>
  <c r="C572" i="16"/>
  <c r="S572" i="16" s="1"/>
  <c r="C573" i="16"/>
  <c r="C574" i="16"/>
  <c r="C575" i="16"/>
  <c r="C576" i="16"/>
  <c r="S576" i="16" s="1"/>
  <c r="C577" i="16"/>
  <c r="S577" i="16" s="1"/>
  <c r="C578" i="16"/>
  <c r="C579" i="16"/>
  <c r="C580" i="16"/>
  <c r="S580" i="16" s="1"/>
  <c r="I580" i="16" s="1"/>
  <c r="C581" i="16"/>
  <c r="S581" i="16" s="1"/>
  <c r="J581" i="16" s="1"/>
  <c r="C582" i="16"/>
  <c r="C583" i="16"/>
  <c r="C584" i="16"/>
  <c r="C585" i="16"/>
  <c r="C586" i="16"/>
  <c r="C587" i="16"/>
  <c r="S587" i="16" s="1"/>
  <c r="C588" i="16"/>
  <c r="S588" i="16" s="1"/>
  <c r="F588" i="16" s="1"/>
  <c r="C589" i="16"/>
  <c r="S589" i="16" s="1"/>
  <c r="C590" i="16"/>
  <c r="C591" i="16"/>
  <c r="C592" i="16"/>
  <c r="C593" i="16"/>
  <c r="C594" i="16"/>
  <c r="C595" i="16"/>
  <c r="C596" i="16"/>
  <c r="C597" i="16"/>
  <c r="C598" i="16"/>
  <c r="C599" i="16"/>
  <c r="S599" i="16" s="1"/>
  <c r="E599" i="16" s="1"/>
  <c r="C600" i="16"/>
  <c r="C601" i="16"/>
  <c r="C602" i="16"/>
  <c r="C603" i="16"/>
  <c r="S603" i="16" s="1"/>
  <c r="C604" i="16"/>
  <c r="C605" i="16"/>
  <c r="S605" i="16" s="1"/>
  <c r="C606" i="16"/>
  <c r="C607" i="16"/>
  <c r="C608" i="16"/>
  <c r="C609" i="16"/>
  <c r="C610" i="16"/>
  <c r="C611" i="16"/>
  <c r="C612" i="16"/>
  <c r="C613" i="16"/>
  <c r="S613" i="16" s="1"/>
  <c r="C614" i="16"/>
  <c r="C615" i="16"/>
  <c r="C616" i="16"/>
  <c r="C617" i="16"/>
  <c r="C618" i="16"/>
  <c r="C619" i="16"/>
  <c r="C620" i="16"/>
  <c r="S620" i="16" s="1"/>
  <c r="C621" i="16"/>
  <c r="C622" i="16"/>
  <c r="C623" i="16"/>
  <c r="S623" i="16" s="1"/>
  <c r="C624" i="16"/>
  <c r="C625" i="16"/>
  <c r="C626" i="16"/>
  <c r="C627" i="16"/>
  <c r="C628" i="16"/>
  <c r="S628" i="16" s="1"/>
  <c r="C629" i="16"/>
  <c r="C630" i="16"/>
  <c r="S630" i="16" s="1"/>
  <c r="C631" i="16"/>
  <c r="S631" i="16" s="1"/>
  <c r="H631" i="16" s="1"/>
  <c r="C632" i="16"/>
  <c r="C633" i="16"/>
  <c r="S633" i="16" s="1"/>
  <c r="C634" i="16"/>
  <c r="C635" i="16"/>
  <c r="C636" i="16"/>
  <c r="S636" i="16" s="1"/>
  <c r="C637" i="16"/>
  <c r="C638" i="16"/>
  <c r="C639" i="16"/>
  <c r="C640" i="16"/>
  <c r="C641" i="16"/>
  <c r="C642" i="16"/>
  <c r="C643" i="16"/>
  <c r="S643" i="16" s="1"/>
  <c r="C644" i="16"/>
  <c r="S644" i="16" s="1"/>
  <c r="C645" i="16"/>
  <c r="C646" i="16"/>
  <c r="C647" i="16"/>
  <c r="S647" i="16" s="1"/>
  <c r="D647" i="16" s="1"/>
  <c r="C648" i="16"/>
  <c r="C649" i="16"/>
  <c r="C650" i="16"/>
  <c r="C651" i="16"/>
  <c r="C652" i="16"/>
  <c r="C653" i="16"/>
  <c r="C654" i="16"/>
  <c r="C655" i="16"/>
  <c r="C656" i="16"/>
  <c r="C657" i="16"/>
  <c r="C658" i="16"/>
  <c r="C659" i="16"/>
  <c r="S659" i="16" s="1"/>
  <c r="C660" i="16"/>
  <c r="S660" i="16" s="1"/>
  <c r="C661" i="16"/>
  <c r="C662" i="16"/>
  <c r="S662" i="16" s="1"/>
  <c r="C663" i="16"/>
  <c r="S663" i="16" s="1"/>
  <c r="D663" i="16" s="1"/>
  <c r="C664" i="16"/>
  <c r="C665" i="16"/>
  <c r="S665" i="16" s="1"/>
  <c r="F665" i="16" s="1"/>
  <c r="C666" i="16"/>
  <c r="C667" i="16"/>
  <c r="C668" i="16"/>
  <c r="S668" i="16" s="1"/>
  <c r="I668" i="16" s="1"/>
  <c r="C669" i="16"/>
  <c r="S669" i="16" s="1"/>
  <c r="C670" i="16"/>
  <c r="C671" i="16"/>
  <c r="C672" i="16"/>
  <c r="C673" i="16"/>
  <c r="C674" i="16"/>
  <c r="S674" i="16" s="1"/>
  <c r="I674" i="16" s="1"/>
  <c r="C675" i="16"/>
  <c r="C676" i="16"/>
  <c r="S676" i="16" s="1"/>
  <c r="C677" i="16"/>
  <c r="C678" i="16"/>
  <c r="C679" i="16"/>
  <c r="C680" i="16"/>
  <c r="C681" i="16"/>
  <c r="S681" i="16" s="1"/>
  <c r="C682" i="16"/>
  <c r="C683" i="16"/>
  <c r="C684" i="16"/>
  <c r="S684" i="16" s="1"/>
  <c r="C685" i="16"/>
  <c r="C686" i="16"/>
  <c r="C687" i="16"/>
  <c r="S687" i="16" s="1"/>
  <c r="C688" i="16"/>
  <c r="S688" i="16" s="1"/>
  <c r="E688" i="16" s="1"/>
  <c r="C689" i="16"/>
  <c r="C690" i="16"/>
  <c r="C691" i="16"/>
  <c r="S691" i="16" s="1"/>
  <c r="H691" i="16" s="1"/>
  <c r="C692" i="16"/>
  <c r="C693" i="16"/>
  <c r="C694" i="16"/>
  <c r="C695" i="16"/>
  <c r="C696" i="16"/>
  <c r="C697" i="16"/>
  <c r="C698" i="16"/>
  <c r="S698" i="16" s="1"/>
  <c r="C699" i="16"/>
  <c r="C700" i="16"/>
  <c r="S700" i="16" s="1"/>
  <c r="C701" i="16"/>
  <c r="S701" i="16" s="1"/>
  <c r="C702" i="16"/>
  <c r="C703" i="16"/>
  <c r="C704" i="16"/>
  <c r="C705" i="16"/>
  <c r="C706" i="16"/>
  <c r="C707" i="16"/>
  <c r="C708" i="16"/>
  <c r="S708" i="16" s="1"/>
  <c r="C709" i="16"/>
  <c r="S709" i="16" s="1"/>
  <c r="C710" i="16"/>
  <c r="C711" i="16"/>
  <c r="C712" i="16"/>
  <c r="C713" i="16"/>
  <c r="S713" i="16" s="1"/>
  <c r="C714" i="16"/>
  <c r="S714" i="16" s="1"/>
  <c r="H714" i="16" s="1"/>
  <c r="C715" i="16"/>
  <c r="C716" i="16"/>
  <c r="S716" i="16" s="1"/>
  <c r="J716" i="16" s="1"/>
  <c r="C717" i="16"/>
  <c r="C718" i="16"/>
  <c r="C719" i="16"/>
  <c r="S719" i="16" s="1"/>
  <c r="C720" i="16"/>
  <c r="S720" i="16" s="1"/>
  <c r="I720" i="16" s="1"/>
  <c r="C721" i="16"/>
  <c r="S721" i="16" s="1"/>
  <c r="C722" i="16"/>
  <c r="S722" i="16" s="1"/>
  <c r="C723" i="16"/>
  <c r="S723" i="16" s="1"/>
  <c r="C724" i="16"/>
  <c r="S724" i="16" s="1"/>
  <c r="E724" i="16" s="1"/>
  <c r="C725" i="16"/>
  <c r="S725" i="16" s="1"/>
  <c r="I725" i="16" s="1"/>
  <c r="C726" i="16"/>
  <c r="C727" i="16"/>
  <c r="C728" i="16"/>
  <c r="C729" i="16"/>
  <c r="C730" i="16"/>
  <c r="C731" i="16"/>
  <c r="C732" i="16"/>
  <c r="S732" i="16" s="1"/>
  <c r="C733" i="16"/>
  <c r="S733" i="16" s="1"/>
  <c r="H733" i="16" s="1"/>
  <c r="C734" i="16"/>
  <c r="C735" i="16"/>
  <c r="S735" i="16" s="1"/>
  <c r="C736" i="16"/>
  <c r="S736" i="16" s="1"/>
  <c r="C737" i="16"/>
  <c r="C738" i="16"/>
  <c r="S738" i="16" s="1"/>
  <c r="G738" i="16" s="1"/>
  <c r="C739" i="16"/>
  <c r="C740" i="16"/>
  <c r="C741" i="16"/>
  <c r="C742" i="16"/>
  <c r="C743" i="16"/>
  <c r="C744" i="16"/>
  <c r="S744" i="16" s="1"/>
  <c r="J744" i="16" s="1"/>
  <c r="C745" i="16"/>
  <c r="C746" i="16"/>
  <c r="C747" i="16"/>
  <c r="S747" i="16" s="1"/>
  <c r="C748" i="16"/>
  <c r="C749" i="16"/>
  <c r="C750" i="16"/>
  <c r="C751" i="16"/>
  <c r="C752" i="16"/>
  <c r="C753" i="16"/>
  <c r="C754" i="16"/>
  <c r="C755" i="16"/>
  <c r="S755" i="16" s="1"/>
  <c r="G755" i="16" s="1"/>
  <c r="C756" i="16"/>
  <c r="S756" i="16" s="1"/>
  <c r="C757" i="16"/>
  <c r="C758" i="16"/>
  <c r="C759" i="16"/>
  <c r="C760" i="16"/>
  <c r="S760" i="16" s="1"/>
  <c r="D760" i="16" s="1"/>
  <c r="C761" i="16"/>
  <c r="S761" i="16" s="1"/>
  <c r="C762" i="16"/>
  <c r="C763" i="16"/>
  <c r="C764" i="16"/>
  <c r="S764" i="16" s="1"/>
  <c r="J764" i="16" s="1"/>
  <c r="C765" i="16"/>
  <c r="S765" i="16" s="1"/>
  <c r="C766" i="16"/>
  <c r="C767" i="16"/>
  <c r="C768" i="16"/>
  <c r="C769" i="16"/>
  <c r="C770" i="16"/>
  <c r="C771" i="16"/>
  <c r="C772" i="16"/>
  <c r="S772" i="16" s="1"/>
  <c r="C773" i="16"/>
  <c r="C774" i="16"/>
  <c r="S774" i="16" s="1"/>
  <c r="C775" i="16"/>
  <c r="C776" i="16"/>
  <c r="C777" i="16"/>
  <c r="S777" i="16" s="1"/>
  <c r="C778" i="16"/>
  <c r="C779" i="16"/>
  <c r="C780" i="16"/>
  <c r="C781" i="16"/>
  <c r="S781" i="16" s="1"/>
  <c r="H781" i="16" s="1"/>
  <c r="C782" i="16"/>
  <c r="C783" i="16"/>
  <c r="C784" i="16"/>
  <c r="C785" i="16"/>
  <c r="C786" i="16"/>
  <c r="C787" i="16"/>
  <c r="C788" i="16"/>
  <c r="C789" i="16"/>
  <c r="S789" i="16" s="1"/>
  <c r="C790" i="16"/>
  <c r="C791" i="16"/>
  <c r="C792" i="16"/>
  <c r="C793" i="16"/>
  <c r="C794" i="16"/>
  <c r="S794" i="16" s="1"/>
  <c r="C795" i="16"/>
  <c r="S795" i="16" s="1"/>
  <c r="C796" i="16"/>
  <c r="S796" i="16" s="1"/>
  <c r="C797" i="16"/>
  <c r="S797" i="16" s="1"/>
  <c r="C798" i="16"/>
  <c r="C799" i="16"/>
  <c r="C800" i="16"/>
  <c r="C801" i="16"/>
  <c r="C802" i="16"/>
  <c r="C803" i="16"/>
  <c r="C804" i="16"/>
  <c r="C805" i="16"/>
  <c r="C806" i="16"/>
  <c r="C807" i="16"/>
  <c r="C808" i="16"/>
  <c r="C809" i="16"/>
  <c r="S809" i="16" s="1"/>
  <c r="C810" i="16"/>
  <c r="C811" i="16"/>
  <c r="S811" i="16" s="1"/>
  <c r="C812" i="16"/>
  <c r="S812" i="16" s="1"/>
  <c r="H812" i="16" s="1"/>
  <c r="C813" i="16"/>
  <c r="C814" i="16"/>
  <c r="S814" i="16" s="1"/>
  <c r="C815" i="16"/>
  <c r="C816" i="16"/>
  <c r="S816" i="16" s="1"/>
  <c r="C817" i="16"/>
  <c r="S817" i="16" s="1"/>
  <c r="E817" i="16" s="1"/>
  <c r="C818" i="16"/>
  <c r="C819" i="16"/>
  <c r="C820" i="16"/>
  <c r="S820" i="16" s="1"/>
  <c r="C821" i="16"/>
  <c r="C822" i="16"/>
  <c r="C823" i="16"/>
  <c r="C824" i="16"/>
  <c r="C825" i="16"/>
  <c r="C826" i="16"/>
  <c r="C827" i="16"/>
  <c r="C828" i="16"/>
  <c r="S828" i="16" s="1"/>
  <c r="C829" i="16"/>
  <c r="S829" i="16" s="1"/>
  <c r="C830" i="16"/>
  <c r="C831" i="16"/>
  <c r="C832" i="16"/>
  <c r="C833" i="16"/>
  <c r="S833" i="16" s="1"/>
  <c r="F833" i="16" s="1"/>
  <c r="C834" i="16"/>
  <c r="C835" i="16"/>
  <c r="C836" i="16"/>
  <c r="C837" i="16"/>
  <c r="C838" i="16"/>
  <c r="C839" i="16"/>
  <c r="C840" i="16"/>
  <c r="C841" i="16"/>
  <c r="S841" i="16" s="1"/>
  <c r="C842" i="16"/>
  <c r="S842" i="16" s="1"/>
  <c r="C843" i="16"/>
  <c r="S843" i="16" s="1"/>
  <c r="C844" i="16"/>
  <c r="S844" i="16" s="1"/>
  <c r="E844" i="16" s="1"/>
  <c r="C845" i="16"/>
  <c r="C846" i="16"/>
  <c r="C847" i="16"/>
  <c r="C848" i="16"/>
  <c r="C849" i="16"/>
  <c r="C850" i="16"/>
  <c r="C851" i="16"/>
  <c r="S851" i="16" s="1"/>
  <c r="C852" i="16"/>
  <c r="C853" i="16"/>
  <c r="C854" i="16"/>
  <c r="C855" i="16"/>
  <c r="S855" i="16" s="1"/>
  <c r="C856" i="16"/>
  <c r="S856" i="16" s="1"/>
  <c r="C857" i="16"/>
  <c r="C858" i="16"/>
  <c r="C859" i="16"/>
  <c r="S859" i="16" s="1"/>
  <c r="C860" i="16"/>
  <c r="S860" i="16" s="1"/>
  <c r="G860" i="16" s="1"/>
  <c r="C861" i="16"/>
  <c r="C862" i="16"/>
  <c r="C863" i="16"/>
  <c r="S863" i="16" s="1"/>
  <c r="J863" i="16" s="1"/>
  <c r="C864" i="16"/>
  <c r="S864" i="16" s="1"/>
  <c r="H864" i="16" s="1"/>
  <c r="C865" i="16"/>
  <c r="C866" i="16"/>
  <c r="S866" i="16" s="1"/>
  <c r="C867" i="16"/>
  <c r="S867" i="16" s="1"/>
  <c r="C868" i="16"/>
  <c r="S868" i="16" s="1"/>
  <c r="D868" i="16" s="1"/>
  <c r="C869" i="16"/>
  <c r="S869" i="16" s="1"/>
  <c r="C870" i="16"/>
  <c r="C871" i="16"/>
  <c r="S871" i="16" s="1"/>
  <c r="C872" i="16"/>
  <c r="S872" i="16" s="1"/>
  <c r="C873" i="16"/>
  <c r="C874" i="16"/>
  <c r="S874" i="16" s="1"/>
  <c r="C875" i="16"/>
  <c r="C876" i="16"/>
  <c r="C877" i="16"/>
  <c r="S877" i="16" s="1"/>
  <c r="C878" i="16"/>
  <c r="C879" i="16"/>
  <c r="C880" i="16"/>
  <c r="S880" i="16" s="1"/>
  <c r="C881" i="16"/>
  <c r="S881" i="16" s="1"/>
  <c r="D881" i="16" s="1"/>
  <c r="C882" i="16"/>
  <c r="S882" i="16" s="1"/>
  <c r="C883" i="16"/>
  <c r="S883" i="16" s="1"/>
  <c r="E883" i="16" s="1"/>
  <c r="C884" i="16"/>
  <c r="C885" i="16"/>
  <c r="S885" i="16" s="1"/>
  <c r="C886" i="16"/>
  <c r="C887" i="16"/>
  <c r="S887" i="16" s="1"/>
  <c r="C888" i="16"/>
  <c r="S888" i="16" s="1"/>
  <c r="E888" i="16" s="1"/>
  <c r="C889" i="16"/>
  <c r="C890" i="16"/>
  <c r="C891" i="16"/>
  <c r="S891" i="16" s="1"/>
  <c r="C892" i="16"/>
  <c r="C893" i="16"/>
  <c r="C894" i="16"/>
  <c r="C895" i="16"/>
  <c r="C896" i="16"/>
  <c r="S896" i="16" s="1"/>
  <c r="H896" i="16" s="1"/>
  <c r="C897" i="16"/>
  <c r="C898" i="16"/>
  <c r="S898" i="16" s="1"/>
  <c r="C899" i="16"/>
  <c r="C900" i="16"/>
  <c r="C901" i="16"/>
  <c r="C902" i="16"/>
  <c r="C903" i="16"/>
  <c r="C904" i="16"/>
  <c r="C905" i="16"/>
  <c r="S905" i="16" s="1"/>
  <c r="C906" i="16"/>
  <c r="C907" i="16"/>
  <c r="S907" i="16" s="1"/>
  <c r="C908" i="16"/>
  <c r="S908" i="16" s="1"/>
  <c r="E908" i="16" s="1"/>
  <c r="C909" i="16"/>
  <c r="S909" i="16" s="1"/>
  <c r="C910" i="16"/>
  <c r="C911" i="16"/>
  <c r="C912" i="16"/>
  <c r="C913" i="16"/>
  <c r="S913" i="16" s="1"/>
  <c r="C914" i="16"/>
  <c r="C915" i="16"/>
  <c r="S915" i="16" s="1"/>
  <c r="E915" i="16" s="1"/>
  <c r="C916" i="16"/>
  <c r="C917" i="16"/>
  <c r="S917" i="16" s="1"/>
  <c r="C918" i="16"/>
  <c r="C919" i="16"/>
  <c r="C920" i="16"/>
  <c r="S920" i="16" s="1"/>
  <c r="C921" i="16"/>
  <c r="C922" i="16"/>
  <c r="C923" i="16"/>
  <c r="C924" i="16"/>
  <c r="C925" i="16"/>
  <c r="C926" i="16"/>
  <c r="C927" i="16"/>
  <c r="S927" i="16" s="1"/>
  <c r="C928" i="16"/>
  <c r="C929" i="16"/>
  <c r="S929" i="16" s="1"/>
  <c r="C930" i="16"/>
  <c r="C931" i="16"/>
  <c r="S931" i="16" s="1"/>
  <c r="C932" i="16"/>
  <c r="S932" i="16" s="1"/>
  <c r="I932" i="16" s="1"/>
  <c r="C933" i="16"/>
  <c r="S933" i="16" s="1"/>
  <c r="C934" i="16"/>
  <c r="C935" i="16"/>
  <c r="S935" i="16" s="1"/>
  <c r="C936" i="16"/>
  <c r="C937" i="16"/>
  <c r="C938" i="16"/>
  <c r="S938" i="16" s="1"/>
  <c r="C939" i="16"/>
  <c r="S939" i="16" s="1"/>
  <c r="C940" i="16"/>
  <c r="S940" i="16" s="1"/>
  <c r="C941" i="16"/>
  <c r="C942" i="16"/>
  <c r="C943" i="16"/>
  <c r="C944" i="16"/>
  <c r="C945" i="16"/>
  <c r="C946" i="16"/>
  <c r="C947" i="16"/>
  <c r="C948" i="16"/>
  <c r="S948" i="16" s="1"/>
  <c r="C949" i="16"/>
  <c r="C950" i="16"/>
  <c r="C951" i="16"/>
  <c r="C952" i="16"/>
  <c r="S952" i="16" s="1"/>
  <c r="I952" i="16" s="1"/>
  <c r="C953" i="16"/>
  <c r="S953" i="16" s="1"/>
  <c r="C954" i="16"/>
  <c r="C955" i="16"/>
  <c r="S955" i="16" s="1"/>
  <c r="H955" i="16" s="1"/>
  <c r="C956" i="16"/>
  <c r="S956" i="16" s="1"/>
  <c r="C957" i="16"/>
  <c r="S957" i="16" s="1"/>
  <c r="D957" i="16" s="1"/>
  <c r="C958" i="16"/>
  <c r="C959" i="16"/>
  <c r="C960" i="16"/>
  <c r="C961" i="16"/>
  <c r="S961" i="16" s="1"/>
  <c r="J961" i="16" s="1"/>
  <c r="C962" i="16"/>
  <c r="S962" i="16" s="1"/>
  <c r="C963" i="16"/>
  <c r="S963" i="16" s="1"/>
  <c r="C964" i="16"/>
  <c r="S964" i="16" s="1"/>
  <c r="C965" i="16"/>
  <c r="C967" i="16"/>
  <c r="C968" i="16"/>
  <c r="C969" i="16"/>
  <c r="C970" i="16"/>
  <c r="C971" i="16"/>
  <c r="S971" i="16" s="1"/>
  <c r="C972" i="16"/>
  <c r="C973" i="16"/>
  <c r="S973" i="16" s="1"/>
  <c r="C974" i="16"/>
  <c r="C975" i="16"/>
  <c r="C976" i="16"/>
  <c r="C977" i="16"/>
  <c r="C978" i="16"/>
  <c r="C979" i="16"/>
  <c r="S979" i="16" s="1"/>
  <c r="C980" i="16"/>
  <c r="C981" i="16"/>
  <c r="S981" i="16" s="1"/>
  <c r="D981" i="16" s="1"/>
  <c r="C982" i="16"/>
  <c r="S982" i="16" s="1"/>
  <c r="C983" i="16"/>
  <c r="C984" i="16"/>
  <c r="C985" i="16"/>
  <c r="S985" i="16" s="1"/>
  <c r="C986" i="16"/>
  <c r="C987" i="16"/>
  <c r="S987" i="16" s="1"/>
  <c r="C988" i="16"/>
  <c r="C989" i="16"/>
  <c r="S989" i="16" s="1"/>
  <c r="I989" i="16" s="1"/>
  <c r="C990" i="16"/>
  <c r="C991" i="16"/>
  <c r="C992" i="16"/>
  <c r="C993" i="16"/>
  <c r="C994" i="16"/>
  <c r="C995" i="16"/>
  <c r="S995" i="16" s="1"/>
  <c r="C996" i="16"/>
  <c r="C997" i="16"/>
  <c r="S997" i="16" s="1"/>
  <c r="C998" i="16"/>
  <c r="C999" i="16"/>
  <c r="C1000" i="16"/>
  <c r="C1001" i="16"/>
  <c r="C1002" i="16"/>
  <c r="S1002" i="16" s="1"/>
  <c r="C1003" i="16"/>
  <c r="C1004" i="16"/>
  <c r="C1005" i="16"/>
  <c r="S1005" i="16" s="1"/>
  <c r="C1006" i="16"/>
  <c r="S1006" i="16" s="1"/>
  <c r="C1007" i="16"/>
  <c r="C1008" i="16"/>
  <c r="C1009" i="16"/>
  <c r="S1009" i="16" s="1"/>
  <c r="C1010" i="16"/>
  <c r="C1011" i="16"/>
  <c r="S1011" i="16" s="1"/>
  <c r="C1012" i="16"/>
  <c r="C1013" i="16"/>
  <c r="S1013" i="16" s="1"/>
  <c r="H1013" i="16" s="1"/>
  <c r="C1014" i="16"/>
  <c r="C1015" i="16"/>
  <c r="C1016" i="16"/>
  <c r="C1017" i="16"/>
  <c r="S1017" i="16" s="1"/>
  <c r="C1018" i="16"/>
  <c r="S1018" i="16" s="1"/>
  <c r="J1018" i="16" s="1"/>
  <c r="C1019" i="16"/>
  <c r="S1019" i="16" s="1"/>
  <c r="J1019" i="16" s="1"/>
  <c r="C1020" i="16"/>
  <c r="S1020" i="16" s="1"/>
  <c r="E1020" i="16" s="1"/>
  <c r="C1021" i="16"/>
  <c r="S1021" i="16" s="1"/>
  <c r="J1021" i="16" s="1"/>
  <c r="C1022" i="16"/>
  <c r="S1022" i="16" s="1"/>
  <c r="C1023" i="16"/>
  <c r="C1024" i="16"/>
  <c r="S1024" i="16" s="1"/>
  <c r="E1024" i="16" s="1"/>
  <c r="C1025" i="16"/>
  <c r="C1026" i="16"/>
  <c r="S1026" i="16" s="1"/>
  <c r="C1027" i="16"/>
  <c r="S1027" i="16" s="1"/>
  <c r="E1027" i="16" s="1"/>
  <c r="C1028" i="16"/>
  <c r="S1028" i="16" s="1"/>
  <c r="I1028" i="16" s="1"/>
  <c r="C1029" i="16"/>
  <c r="S1029" i="16" s="1"/>
  <c r="C1030" i="16"/>
  <c r="C1031" i="16"/>
  <c r="C1032" i="16"/>
  <c r="C1033" i="16"/>
  <c r="S1033" i="16" s="1"/>
  <c r="H1033" i="16" s="1"/>
  <c r="C1034" i="16"/>
  <c r="C1035" i="16"/>
  <c r="C1036" i="16"/>
  <c r="C1037" i="16"/>
  <c r="C1038" i="16"/>
  <c r="C1039" i="16"/>
  <c r="C1040" i="16"/>
  <c r="C1041" i="16"/>
  <c r="S1041" i="16" s="1"/>
  <c r="E1041" i="16" s="1"/>
  <c r="C1042" i="16"/>
  <c r="S1042" i="16" s="1"/>
  <c r="D1042" i="16" s="1"/>
  <c r="C1043" i="16"/>
  <c r="S1043" i="16" s="1"/>
  <c r="D1043" i="16" s="1"/>
  <c r="C1044" i="16"/>
  <c r="S1044" i="16" s="1"/>
  <c r="C1045" i="16"/>
  <c r="S1045" i="16" s="1"/>
  <c r="C1046" i="16"/>
  <c r="C1047" i="16"/>
  <c r="C1048" i="16"/>
  <c r="C1049" i="16"/>
  <c r="S1049" i="16" s="1"/>
  <c r="C1050" i="16"/>
  <c r="S1050" i="16" s="1"/>
  <c r="C1051" i="16"/>
  <c r="C1052" i="16"/>
  <c r="C1053" i="16"/>
  <c r="S1053" i="16" s="1"/>
  <c r="D1053" i="16" s="1"/>
  <c r="C1054" i="16"/>
  <c r="C1055" i="16"/>
  <c r="C1056" i="16"/>
  <c r="S1056" i="16" s="1"/>
  <c r="C1057" i="16"/>
  <c r="S1057" i="16" s="1"/>
  <c r="C1058" i="16"/>
  <c r="S1058" i="16" s="1"/>
  <c r="C1059" i="16"/>
  <c r="S1059" i="16" s="1"/>
  <c r="G1059" i="16" s="1"/>
  <c r="C1060" i="16"/>
  <c r="C1061" i="16"/>
  <c r="S1061" i="16" s="1"/>
  <c r="F1061" i="16" s="1"/>
  <c r="C1062" i="16"/>
  <c r="C1063" i="16"/>
  <c r="C1064" i="16"/>
  <c r="C1065" i="16"/>
  <c r="C1066" i="16"/>
  <c r="S1066" i="16" s="1"/>
  <c r="G1066" i="16" s="1"/>
  <c r="C1067" i="16"/>
  <c r="S1067" i="16" s="1"/>
  <c r="C1068" i="16"/>
  <c r="S1068" i="16" s="1"/>
  <c r="E1068" i="16" s="1"/>
  <c r="C1069" i="16"/>
  <c r="C1070" i="16"/>
  <c r="C1071" i="16"/>
  <c r="C1072" i="16"/>
  <c r="C1073" i="16"/>
  <c r="C1074" i="16"/>
  <c r="C1075" i="16"/>
  <c r="C1076" i="16"/>
  <c r="C1077" i="16"/>
  <c r="C1078" i="16"/>
  <c r="C1079" i="16"/>
  <c r="C1080" i="16"/>
  <c r="C1081" i="16"/>
  <c r="C1082" i="16"/>
  <c r="S1082" i="16" s="1"/>
  <c r="C1083" i="16"/>
  <c r="S1083" i="16" s="1"/>
  <c r="D1083" i="16" s="1"/>
  <c r="C1084" i="16"/>
  <c r="S1084" i="16" s="1"/>
  <c r="C1085" i="16"/>
  <c r="S1085" i="16" s="1"/>
  <c r="C1086" i="16"/>
  <c r="C1087" i="16"/>
  <c r="S1087" i="16" s="1"/>
  <c r="C1088" i="16"/>
  <c r="C1089" i="16"/>
  <c r="C1090" i="16"/>
  <c r="S1090" i="16" s="1"/>
  <c r="C1091" i="16"/>
  <c r="C1092" i="16"/>
  <c r="C1093" i="16"/>
  <c r="S1093" i="16" s="1"/>
  <c r="E1093" i="16" s="1"/>
  <c r="C1094" i="16"/>
  <c r="C1095" i="16"/>
  <c r="S1095" i="16" s="1"/>
  <c r="C1096" i="16"/>
  <c r="C1097" i="16"/>
  <c r="S1097" i="16" s="1"/>
  <c r="J1097" i="16" s="1"/>
  <c r="C1098" i="16"/>
  <c r="S1098" i="16" s="1"/>
  <c r="H1098" i="16" s="1"/>
  <c r="C1099" i="16"/>
  <c r="S1099" i="16" s="1"/>
  <c r="I1099" i="16" s="1"/>
  <c r="C1100" i="16"/>
  <c r="S1100" i="16" s="1"/>
  <c r="C1101" i="16"/>
  <c r="C1102" i="16"/>
  <c r="C1103" i="16"/>
  <c r="C1104" i="16"/>
  <c r="C1105" i="16"/>
  <c r="C1106" i="16"/>
  <c r="S1106" i="16" s="1"/>
  <c r="D1106" i="16" s="1"/>
  <c r="C1107" i="16"/>
  <c r="C1108" i="16"/>
  <c r="C1109" i="16"/>
  <c r="C1110" i="16"/>
  <c r="C1111" i="16"/>
  <c r="C1112" i="16"/>
  <c r="C1113" i="16"/>
  <c r="C1114" i="16"/>
  <c r="S1114" i="16" s="1"/>
  <c r="D1114" i="16" s="1"/>
  <c r="C1115" i="16"/>
  <c r="C1116" i="16"/>
  <c r="S1116" i="16" s="1"/>
  <c r="C1117" i="16"/>
  <c r="S1117" i="16" s="1"/>
  <c r="C1118" i="16"/>
  <c r="C1119" i="16"/>
  <c r="C1120" i="16"/>
  <c r="C1121" i="16"/>
  <c r="C1122" i="16"/>
  <c r="S1122" i="16" s="1"/>
  <c r="E1122" i="16" s="1"/>
  <c r="C1123" i="16"/>
  <c r="C1124" i="16"/>
  <c r="C1125" i="16"/>
  <c r="S1125" i="16" s="1"/>
  <c r="C1126" i="16"/>
  <c r="C1127" i="16"/>
  <c r="C1128" i="16"/>
  <c r="C1129" i="16"/>
  <c r="S1129" i="16" s="1"/>
  <c r="C1130" i="16"/>
  <c r="S1130" i="16" s="1"/>
  <c r="C1131" i="16"/>
  <c r="S1131" i="16" s="1"/>
  <c r="C1132" i="16"/>
  <c r="C1133" i="16"/>
  <c r="S1133" i="16" s="1"/>
  <c r="C1134" i="16"/>
  <c r="C1135" i="16"/>
  <c r="C1136" i="16"/>
  <c r="S1136" i="16" s="1"/>
  <c r="H1136" i="16" s="1"/>
  <c r="C1137" i="16"/>
  <c r="S1137" i="16" s="1"/>
  <c r="H1137" i="16" s="1"/>
  <c r="C1138" i="16"/>
  <c r="S1138" i="16" s="1"/>
  <c r="C1139" i="16"/>
  <c r="C1140" i="16"/>
  <c r="C1141" i="16"/>
  <c r="S1141" i="16" s="1"/>
  <c r="G1141" i="16" s="1"/>
  <c r="C1142" i="16"/>
  <c r="C1143" i="16"/>
  <c r="C1144" i="16"/>
  <c r="C1145" i="16"/>
  <c r="S1145" i="16" s="1"/>
  <c r="C1146" i="16"/>
  <c r="S1146" i="16" s="1"/>
  <c r="J1146" i="16" s="1"/>
  <c r="C1147" i="16"/>
  <c r="S1147" i="16" s="1"/>
  <c r="I1147" i="16" s="1"/>
  <c r="C1148" i="16"/>
  <c r="C1149" i="16"/>
  <c r="S1149" i="16" s="1"/>
  <c r="C1150" i="16"/>
  <c r="C1151" i="16"/>
  <c r="C1152" i="16"/>
  <c r="C1153" i="16"/>
  <c r="S1153" i="16" s="1"/>
  <c r="I1153" i="16" s="1"/>
  <c r="C1154" i="16"/>
  <c r="C1155" i="16"/>
  <c r="C1156" i="16"/>
  <c r="S1156" i="16" s="1"/>
  <c r="F1156" i="16" s="1"/>
  <c r="C1157" i="16"/>
  <c r="C1158" i="16"/>
  <c r="C1159" i="16"/>
  <c r="C1160" i="16"/>
  <c r="C1161" i="16"/>
  <c r="S1161" i="16" s="1"/>
  <c r="C1162" i="16"/>
  <c r="C1163" i="16"/>
  <c r="C1164" i="16"/>
  <c r="C1165" i="16"/>
  <c r="C1166" i="16"/>
  <c r="S1166" i="16" s="1"/>
  <c r="C1167" i="16"/>
  <c r="C1168" i="16"/>
  <c r="C1169" i="16"/>
  <c r="S1169" i="16" s="1"/>
  <c r="C1170" i="16"/>
  <c r="C1171" i="16"/>
  <c r="C1172" i="16"/>
  <c r="C1173" i="16"/>
  <c r="S1173" i="16" s="1"/>
  <c r="C1174" i="16"/>
  <c r="C1175" i="16"/>
  <c r="C1176" i="16"/>
  <c r="C1177" i="16"/>
  <c r="C1178" i="16"/>
  <c r="C1179" i="16"/>
  <c r="C1180" i="16"/>
  <c r="S1180" i="16" s="1"/>
  <c r="C1181" i="16"/>
  <c r="C1182" i="16"/>
  <c r="S1182" i="16" s="1"/>
  <c r="C1183" i="16"/>
  <c r="C1184" i="16"/>
  <c r="C1185" i="16"/>
  <c r="C1186" i="16"/>
  <c r="C1187" i="16"/>
  <c r="C1188" i="16"/>
  <c r="S1188" i="16" s="1"/>
  <c r="C1189" i="16"/>
  <c r="C1190" i="16"/>
  <c r="S1190" i="16" s="1"/>
  <c r="E1190" i="16" s="1"/>
  <c r="C1191" i="16"/>
  <c r="C1192" i="16"/>
  <c r="C1193" i="16"/>
  <c r="C1194" i="16"/>
  <c r="C1195" i="16"/>
  <c r="C1196" i="16"/>
  <c r="S1196" i="16" s="1"/>
  <c r="F1196" i="16" s="1"/>
  <c r="C1197" i="16"/>
  <c r="C1198" i="16"/>
  <c r="S1198" i="16" s="1"/>
  <c r="C1199" i="16"/>
  <c r="C1200" i="16"/>
  <c r="C1201" i="16"/>
  <c r="C1202" i="16"/>
  <c r="C1203" i="16"/>
  <c r="S1203" i="16" s="1"/>
  <c r="I1203" i="16" s="1"/>
  <c r="C1204" i="16"/>
  <c r="C1205" i="16"/>
  <c r="C1206" i="16"/>
  <c r="C1207" i="16"/>
  <c r="S1207" i="16" s="1"/>
  <c r="C1208" i="16"/>
  <c r="C1209" i="16"/>
  <c r="S1209" i="16" s="1"/>
  <c r="F1209" i="16" s="1"/>
  <c r="C1210" i="16"/>
  <c r="S1210" i="16" s="1"/>
  <c r="C1211" i="16"/>
  <c r="S1211" i="16" s="1"/>
  <c r="C1212" i="16"/>
  <c r="S1212" i="16" s="1"/>
  <c r="C1213" i="16"/>
  <c r="S1213" i="16" s="1"/>
  <c r="C1214" i="16"/>
  <c r="S1214" i="16" s="1"/>
  <c r="G1214" i="16" s="1"/>
  <c r="C1215" i="16"/>
  <c r="C1216" i="16"/>
  <c r="C1217" i="16"/>
  <c r="C1218" i="16"/>
  <c r="C1219" i="16"/>
  <c r="C1220" i="16"/>
  <c r="C1221" i="16"/>
  <c r="C1222" i="16"/>
  <c r="S1222" i="16" s="1"/>
  <c r="C1223" i="16"/>
  <c r="C1224" i="16"/>
  <c r="C1225" i="16"/>
  <c r="C1226" i="16"/>
  <c r="C1227" i="16"/>
  <c r="C1228" i="16"/>
  <c r="C1229" i="16"/>
  <c r="S1229" i="16" s="1"/>
  <c r="C1230" i="16"/>
  <c r="C1231" i="16"/>
  <c r="S1231" i="16" s="1"/>
  <c r="C1232" i="16"/>
  <c r="C1233" i="16"/>
  <c r="S1233" i="16" s="1"/>
  <c r="C1234" i="16"/>
  <c r="C1235" i="16"/>
  <c r="S1235" i="16" s="1"/>
  <c r="C1236" i="16"/>
  <c r="C1237" i="16"/>
  <c r="S1237" i="16" s="1"/>
  <c r="C1238" i="16"/>
  <c r="C1239" i="16"/>
  <c r="C1240" i="16"/>
  <c r="C1241" i="16"/>
  <c r="C1242" i="16"/>
  <c r="S1242" i="16" s="1"/>
  <c r="C1243" i="16"/>
  <c r="C1244" i="16"/>
  <c r="C1245" i="16"/>
  <c r="S1245" i="16" s="1"/>
  <c r="C1246" i="16"/>
  <c r="C1247" i="16"/>
  <c r="C1248" i="16"/>
  <c r="S1248" i="16" s="1"/>
  <c r="D1248" i="16" s="1"/>
  <c r="C1249" i="16"/>
  <c r="C1250" i="16"/>
  <c r="S1250" i="16" s="1"/>
  <c r="C1251" i="16"/>
  <c r="S1251" i="16" s="1"/>
  <c r="C1252" i="16"/>
  <c r="C1253" i="16"/>
  <c r="S1253" i="16" s="1"/>
  <c r="C1254" i="16"/>
  <c r="C1255" i="16"/>
  <c r="C1256" i="16"/>
  <c r="C1257" i="16"/>
  <c r="C1258" i="16"/>
  <c r="C1259" i="16"/>
  <c r="C1260" i="16"/>
  <c r="C1261" i="16"/>
  <c r="C1262" i="16"/>
  <c r="C1263" i="16"/>
  <c r="C1264" i="16"/>
  <c r="S1264" i="16" s="1"/>
  <c r="C1265" i="16"/>
  <c r="S1265" i="16" s="1"/>
  <c r="C1266" i="16"/>
  <c r="S1266" i="16" s="1"/>
  <c r="C1267" i="16"/>
  <c r="S1267" i="16" s="1"/>
  <c r="I1267" i="16" s="1"/>
  <c r="C1268" i="16"/>
  <c r="C1269" i="16"/>
  <c r="S1269" i="16" s="1"/>
  <c r="C1270" i="16"/>
  <c r="S1270" i="16" s="1"/>
  <c r="C1271" i="16"/>
  <c r="C1272" i="16"/>
  <c r="C1273" i="16"/>
  <c r="S1273" i="16" s="1"/>
  <c r="D1273" i="16" s="1"/>
  <c r="C1274" i="16"/>
  <c r="C1275" i="16"/>
  <c r="C1276" i="16"/>
  <c r="C1277" i="16"/>
  <c r="S1277" i="16" s="1"/>
  <c r="F1277" i="16" s="1"/>
  <c r="C1278" i="16"/>
  <c r="C1280" i="16"/>
  <c r="C1281" i="16"/>
  <c r="S1281" i="16" s="1"/>
  <c r="C1283" i="16"/>
  <c r="S1283" i="16" s="1"/>
  <c r="C1284" i="16"/>
  <c r="C1285" i="16"/>
  <c r="S1285" i="16" s="1"/>
  <c r="E1285" i="16" s="1"/>
  <c r="C1286" i="16"/>
  <c r="C1287" i="16"/>
  <c r="S1287" i="16" s="1"/>
  <c r="A227" i="13"/>
  <c r="A65" i="13"/>
  <c r="A50" i="13"/>
  <c r="B1283" i="16"/>
  <c r="Y1283" i="16" s="1"/>
  <c r="A304" i="13"/>
  <c r="A303" i="13"/>
  <c r="A302" i="13"/>
  <c r="A301" i="13"/>
  <c r="A300" i="13"/>
  <c r="A299" i="13"/>
  <c r="A298" i="13"/>
  <c r="A297" i="13"/>
  <c r="A296" i="13"/>
  <c r="A239" i="13"/>
  <c r="A238" i="13"/>
  <c r="A237" i="13"/>
  <c r="A235" i="13"/>
  <c r="A234" i="13"/>
  <c r="A233" i="13"/>
  <c r="A232" i="13"/>
  <c r="A231" i="13"/>
  <c r="A230" i="13"/>
  <c r="A229" i="13"/>
  <c r="A228" i="13"/>
  <c r="A226" i="13"/>
  <c r="A225" i="13"/>
  <c r="A224" i="13"/>
  <c r="A223" i="13"/>
  <c r="A222" i="13"/>
  <c r="A221" i="13"/>
  <c r="A220" i="13"/>
  <c r="A219" i="13"/>
  <c r="A218" i="13"/>
  <c r="A217" i="13"/>
  <c r="A216" i="13"/>
  <c r="A215" i="13"/>
  <c r="A214" i="13"/>
  <c r="A213" i="13"/>
  <c r="A212" i="13"/>
  <c r="A211" i="13"/>
  <c r="A209" i="13"/>
  <c r="A208" i="13"/>
  <c r="A207" i="13"/>
  <c r="A206" i="13"/>
  <c r="A205" i="13"/>
  <c r="A204" i="13"/>
  <c r="A203" i="13"/>
  <c r="A202" i="13"/>
  <c r="A201" i="13"/>
  <c r="A200" i="13"/>
  <c r="A199" i="13"/>
  <c r="A198"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4" i="13"/>
  <c r="A63" i="13"/>
  <c r="A62" i="13"/>
  <c r="A61" i="13"/>
  <c r="A60" i="13"/>
  <c r="A59" i="13"/>
  <c r="A58" i="13"/>
  <c r="A57" i="13"/>
  <c r="A56" i="13"/>
  <c r="A55" i="13"/>
  <c r="A54" i="13"/>
  <c r="A53" i="13"/>
  <c r="A52" i="13"/>
  <c r="A51"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 r="B1287" i="16"/>
  <c r="B1280" i="16"/>
  <c r="K535" i="14"/>
  <c r="K536" i="14"/>
  <c r="K537" i="14"/>
  <c r="K538" i="14"/>
  <c r="K539" i="14"/>
  <c r="K540" i="14"/>
  <c r="K529" i="14"/>
  <c r="K541" i="14"/>
  <c r="J535" i="14"/>
  <c r="J536" i="14"/>
  <c r="J537" i="14"/>
  <c r="J538" i="14"/>
  <c r="J539" i="14"/>
  <c r="J540" i="14"/>
  <c r="J529" i="14"/>
  <c r="J541" i="14"/>
  <c r="B260" i="16"/>
  <c r="B261" i="16"/>
  <c r="B262" i="16"/>
  <c r="B263" i="16"/>
  <c r="Y263" i="16" s="1"/>
  <c r="B264" i="16"/>
  <c r="B265" i="16"/>
  <c r="B266" i="16"/>
  <c r="B267" i="16"/>
  <c r="B268" i="16"/>
  <c r="B269" i="16"/>
  <c r="B270" i="16"/>
  <c r="B271" i="16"/>
  <c r="Y271" i="16" s="1"/>
  <c r="B272" i="16"/>
  <c r="B273" i="16"/>
  <c r="B274" i="16"/>
  <c r="B275" i="16"/>
  <c r="Y275" i="16" s="1"/>
  <c r="B276" i="16"/>
  <c r="B277" i="16"/>
  <c r="B278" i="16"/>
  <c r="B279" i="16"/>
  <c r="Y279" i="16" s="1"/>
  <c r="B280" i="16"/>
  <c r="B281" i="16"/>
  <c r="B282" i="16"/>
  <c r="B283" i="16"/>
  <c r="B284" i="16"/>
  <c r="B285" i="16"/>
  <c r="B286" i="16"/>
  <c r="B287" i="16"/>
  <c r="Y287" i="16" s="1"/>
  <c r="B288" i="16"/>
  <c r="B289" i="16"/>
  <c r="B290" i="16"/>
  <c r="B291" i="16"/>
  <c r="B292" i="16"/>
  <c r="B293" i="16"/>
  <c r="B294" i="16"/>
  <c r="B295" i="16"/>
  <c r="Y295" i="16" s="1"/>
  <c r="B296" i="16"/>
  <c r="B297" i="16"/>
  <c r="Y297" i="16" s="1"/>
  <c r="B298" i="16"/>
  <c r="B299" i="16"/>
  <c r="B300" i="16"/>
  <c r="B301" i="16"/>
  <c r="B302" i="16"/>
  <c r="B303" i="16"/>
  <c r="Y303" i="16" s="1"/>
  <c r="B304" i="16"/>
  <c r="Y304" i="16" s="1"/>
  <c r="B305" i="16"/>
  <c r="B306" i="16"/>
  <c r="B307" i="16"/>
  <c r="B308" i="16"/>
  <c r="B309" i="16"/>
  <c r="B310" i="16"/>
  <c r="B311" i="16"/>
  <c r="B312" i="16"/>
  <c r="Y312" i="16" s="1"/>
  <c r="B313" i="16"/>
  <c r="B314" i="16"/>
  <c r="B315" i="16"/>
  <c r="Y315" i="16" s="1"/>
  <c r="B316" i="16"/>
  <c r="B317" i="16"/>
  <c r="B318" i="16"/>
  <c r="B319" i="16"/>
  <c r="Y319" i="16" s="1"/>
  <c r="B320" i="16"/>
  <c r="Y320" i="16" s="1"/>
  <c r="B321" i="16"/>
  <c r="Y321" i="16" s="1"/>
  <c r="B322" i="16"/>
  <c r="Y322" i="16" s="1"/>
  <c r="B323" i="16"/>
  <c r="B324" i="16"/>
  <c r="B325" i="16"/>
  <c r="B326" i="16"/>
  <c r="B327" i="16"/>
  <c r="Y327" i="16" s="1"/>
  <c r="B328" i="16"/>
  <c r="B329" i="16"/>
  <c r="B330" i="16"/>
  <c r="B331" i="16"/>
  <c r="B332" i="16"/>
  <c r="B333" i="16"/>
  <c r="B334" i="16"/>
  <c r="B335" i="16"/>
  <c r="Y335" i="16" s="1"/>
  <c r="B336" i="16"/>
  <c r="B337" i="16"/>
  <c r="Y337" i="16" s="1"/>
  <c r="B338" i="16"/>
  <c r="B339" i="16"/>
  <c r="Y339" i="16" s="1"/>
  <c r="B340" i="16"/>
  <c r="B341" i="16"/>
  <c r="B342" i="16"/>
  <c r="B343" i="16"/>
  <c r="Y343" i="16" s="1"/>
  <c r="B344" i="16"/>
  <c r="Y344" i="16" s="1"/>
  <c r="B345" i="16"/>
  <c r="B346" i="16"/>
  <c r="B347" i="16"/>
  <c r="Y347" i="16" s="1"/>
  <c r="B348" i="16"/>
  <c r="B349" i="16"/>
  <c r="B350" i="16"/>
  <c r="B351" i="16"/>
  <c r="Y351" i="16" s="1"/>
  <c r="B352" i="16"/>
  <c r="Y352" i="16" s="1"/>
  <c r="B353" i="16"/>
  <c r="B354" i="16"/>
  <c r="B355" i="16"/>
  <c r="Y355" i="16" s="1"/>
  <c r="B356" i="16"/>
  <c r="B357" i="16"/>
  <c r="B358" i="16"/>
  <c r="B359" i="16"/>
  <c r="Y359" i="16" s="1"/>
  <c r="B360" i="16"/>
  <c r="B361" i="16"/>
  <c r="B362" i="16"/>
  <c r="B363" i="16"/>
  <c r="Y363" i="16" s="1"/>
  <c r="B364" i="16"/>
  <c r="B365" i="16"/>
  <c r="B366" i="16"/>
  <c r="B367" i="16"/>
  <c r="Y367" i="16" s="1"/>
  <c r="B368" i="16"/>
  <c r="B369" i="16"/>
  <c r="Y369" i="16" s="1"/>
  <c r="B370" i="16"/>
  <c r="B371" i="16"/>
  <c r="B372" i="16"/>
  <c r="B373" i="16"/>
  <c r="B374" i="16"/>
  <c r="B375" i="16"/>
  <c r="Y375" i="16" s="1"/>
  <c r="B376" i="16"/>
  <c r="B377" i="16"/>
  <c r="B378" i="16"/>
  <c r="Y378" i="16" s="1"/>
  <c r="B379" i="16"/>
  <c r="B380" i="16"/>
  <c r="B381" i="16"/>
  <c r="B382" i="16"/>
  <c r="B383" i="16"/>
  <c r="Y383" i="16" s="1"/>
  <c r="B384" i="16"/>
  <c r="B385" i="16"/>
  <c r="Y385" i="16" s="1"/>
  <c r="B386" i="16"/>
  <c r="B387" i="16"/>
  <c r="B388" i="16"/>
  <c r="B389" i="16"/>
  <c r="B390" i="16"/>
  <c r="B391" i="16"/>
  <c r="Y391" i="16" s="1"/>
  <c r="B392" i="16"/>
  <c r="B393" i="16"/>
  <c r="B394" i="16"/>
  <c r="Y394" i="16" s="1"/>
  <c r="B395" i="16"/>
  <c r="B396" i="16"/>
  <c r="B397" i="16"/>
  <c r="B398" i="16"/>
  <c r="B399" i="16"/>
  <c r="Y399" i="16" s="1"/>
  <c r="B400" i="16"/>
  <c r="B401" i="16"/>
  <c r="B402" i="16"/>
  <c r="Y402" i="16" s="1"/>
  <c r="B403" i="16"/>
  <c r="B404" i="16"/>
  <c r="B405" i="16"/>
  <c r="B406" i="16"/>
  <c r="B407" i="16"/>
  <c r="Y407" i="16" s="1"/>
  <c r="B408" i="16"/>
  <c r="B409" i="16"/>
  <c r="B410" i="16"/>
  <c r="B411" i="16"/>
  <c r="B412" i="16"/>
  <c r="B413" i="16"/>
  <c r="B414" i="16"/>
  <c r="B415" i="16"/>
  <c r="Y415" i="16" s="1"/>
  <c r="B416" i="16"/>
  <c r="B417" i="16"/>
  <c r="B418" i="16"/>
  <c r="B419" i="16"/>
  <c r="B420" i="16"/>
  <c r="B421" i="16"/>
  <c r="B422" i="16"/>
  <c r="B423" i="16"/>
  <c r="B424" i="16"/>
  <c r="B425" i="16"/>
  <c r="B426" i="16"/>
  <c r="B427" i="16"/>
  <c r="B428" i="16"/>
  <c r="B429" i="16"/>
  <c r="B430" i="16"/>
  <c r="B431" i="16"/>
  <c r="Y431" i="16" s="1"/>
  <c r="B432" i="16"/>
  <c r="B433" i="16"/>
  <c r="B434" i="16"/>
  <c r="B435" i="16"/>
  <c r="B436" i="16"/>
  <c r="B437" i="16"/>
  <c r="B438" i="16"/>
  <c r="B439" i="16"/>
  <c r="Y439" i="16" s="1"/>
  <c r="B440" i="16"/>
  <c r="B441" i="16"/>
  <c r="B442" i="16"/>
  <c r="B443" i="16"/>
  <c r="B444" i="16"/>
  <c r="B445" i="16"/>
  <c r="B446" i="16"/>
  <c r="B447" i="16"/>
  <c r="Y447" i="16" s="1"/>
  <c r="B448" i="16"/>
  <c r="B449" i="16"/>
  <c r="B450" i="16"/>
  <c r="B451" i="16"/>
  <c r="B452" i="16"/>
  <c r="B453" i="16"/>
  <c r="B454" i="16"/>
  <c r="B455" i="16"/>
  <c r="Y455" i="16" s="1"/>
  <c r="B456" i="16"/>
  <c r="B457" i="16"/>
  <c r="B458" i="16"/>
  <c r="B459" i="16"/>
  <c r="B460" i="16"/>
  <c r="B461" i="16"/>
  <c r="B462" i="16"/>
  <c r="B463" i="16"/>
  <c r="B464" i="16"/>
  <c r="B465" i="16"/>
  <c r="B466" i="16"/>
  <c r="B467" i="16"/>
  <c r="B468" i="16"/>
  <c r="B469" i="16"/>
  <c r="B470" i="16"/>
  <c r="B471" i="16"/>
  <c r="B472" i="16"/>
  <c r="B473" i="16"/>
  <c r="B474" i="16"/>
  <c r="B475" i="16"/>
  <c r="Y475" i="16" s="1"/>
  <c r="B476" i="16"/>
  <c r="B477" i="16"/>
  <c r="B478" i="16"/>
  <c r="B479" i="16"/>
  <c r="B480" i="16"/>
  <c r="B481" i="16"/>
  <c r="B482" i="16"/>
  <c r="B483" i="16"/>
  <c r="B484" i="16"/>
  <c r="B485" i="16"/>
  <c r="B486" i="16"/>
  <c r="B487" i="16"/>
  <c r="B488" i="16"/>
  <c r="B489" i="16"/>
  <c r="B490" i="16"/>
  <c r="B491" i="16"/>
  <c r="Y491" i="16" s="1"/>
  <c r="B492" i="16"/>
  <c r="B493" i="16"/>
  <c r="B494" i="16"/>
  <c r="B495" i="16"/>
  <c r="Y495" i="16" s="1"/>
  <c r="B496" i="16"/>
  <c r="B497" i="16"/>
  <c r="B498" i="16"/>
  <c r="B499" i="16"/>
  <c r="Y499" i="16" s="1"/>
  <c r="B500" i="16"/>
  <c r="B501" i="16"/>
  <c r="B502" i="16"/>
  <c r="B503" i="16"/>
  <c r="Y503" i="16" s="1"/>
  <c r="B504" i="16"/>
  <c r="B505" i="16"/>
  <c r="B506" i="16"/>
  <c r="Y506" i="16" s="1"/>
  <c r="B507" i="16"/>
  <c r="B508" i="16"/>
  <c r="B509" i="16"/>
  <c r="B510" i="16"/>
  <c r="B511" i="16"/>
  <c r="Y511" i="16" s="1"/>
  <c r="B512" i="16"/>
  <c r="B513" i="16"/>
  <c r="B514" i="16"/>
  <c r="B515" i="16"/>
  <c r="B516" i="16"/>
  <c r="B517" i="16"/>
  <c r="B518" i="16"/>
  <c r="B519" i="16"/>
  <c r="Y519" i="16" s="1"/>
  <c r="B520" i="16"/>
  <c r="Y520" i="16" s="1"/>
  <c r="B521" i="16"/>
  <c r="B522" i="16"/>
  <c r="B523" i="16"/>
  <c r="B524" i="16"/>
  <c r="B525" i="16"/>
  <c r="B526" i="16"/>
  <c r="B527" i="16"/>
  <c r="Y527" i="16" s="1"/>
  <c r="B528" i="16"/>
  <c r="B529" i="16"/>
  <c r="B530" i="16"/>
  <c r="B531" i="16"/>
  <c r="B532" i="16"/>
  <c r="B533" i="16"/>
  <c r="B534" i="16"/>
  <c r="B535" i="16"/>
  <c r="Y535" i="16" s="1"/>
  <c r="B536" i="16"/>
  <c r="B537" i="16"/>
  <c r="Y537" i="16" s="1"/>
  <c r="B538" i="16"/>
  <c r="B539" i="16"/>
  <c r="B540" i="16"/>
  <c r="B541" i="16"/>
  <c r="B542" i="16"/>
  <c r="B543" i="16"/>
  <c r="Y543" i="16" s="1"/>
  <c r="B544" i="16"/>
  <c r="B545" i="16"/>
  <c r="Y545" i="16" s="1"/>
  <c r="B546" i="16"/>
  <c r="B547" i="16"/>
  <c r="B548" i="16"/>
  <c r="B549" i="16"/>
  <c r="B550" i="16"/>
  <c r="B551" i="16"/>
  <c r="Y551" i="16" s="1"/>
  <c r="B552" i="16"/>
  <c r="Y552" i="16" s="1"/>
  <c r="B553" i="16"/>
  <c r="B554" i="16"/>
  <c r="B555" i="16"/>
  <c r="B556" i="16"/>
  <c r="B557" i="16"/>
  <c r="B558" i="16"/>
  <c r="B559" i="16"/>
  <c r="Y559" i="16" s="1"/>
  <c r="B560" i="16"/>
  <c r="B561" i="16"/>
  <c r="B562" i="16"/>
  <c r="B563" i="16"/>
  <c r="B564" i="16"/>
  <c r="B565" i="16"/>
  <c r="B566" i="16"/>
  <c r="B567" i="16"/>
  <c r="Y567" i="16" s="1"/>
  <c r="B568" i="16"/>
  <c r="B569" i="16"/>
  <c r="B570" i="16"/>
  <c r="Y570" i="16" s="1"/>
  <c r="B571" i="16"/>
  <c r="Y571" i="16" s="1"/>
  <c r="B572" i="16"/>
  <c r="B573" i="16"/>
  <c r="B574" i="16"/>
  <c r="B575" i="16"/>
  <c r="Y575" i="16" s="1"/>
  <c r="B576" i="16"/>
  <c r="B577" i="16"/>
  <c r="B578" i="16"/>
  <c r="B579" i="16"/>
  <c r="Y579" i="16" s="1"/>
  <c r="B580" i="16"/>
  <c r="B581" i="16"/>
  <c r="B582" i="16"/>
  <c r="B583" i="16"/>
  <c r="Y583" i="16" s="1"/>
  <c r="B584" i="16"/>
  <c r="B585" i="16"/>
  <c r="B586" i="16"/>
  <c r="B587" i="16"/>
  <c r="Y587" i="16" s="1"/>
  <c r="B588" i="16"/>
  <c r="B589" i="16"/>
  <c r="B590" i="16"/>
  <c r="B591" i="16"/>
  <c r="Y591" i="16" s="1"/>
  <c r="B592" i="16"/>
  <c r="B593" i="16"/>
  <c r="B594" i="16"/>
  <c r="Y594" i="16" s="1"/>
  <c r="B595" i="16"/>
  <c r="Y595" i="16" s="1"/>
  <c r="B596" i="16"/>
  <c r="B597" i="16"/>
  <c r="B598" i="16"/>
  <c r="B599" i="16"/>
  <c r="Y599" i="16" s="1"/>
  <c r="B600" i="16"/>
  <c r="B601" i="16"/>
  <c r="Y601" i="16" s="1"/>
  <c r="B602" i="16"/>
  <c r="B603" i="16"/>
  <c r="Y603" i="16" s="1"/>
  <c r="B604" i="16"/>
  <c r="B605" i="16"/>
  <c r="B606" i="16"/>
  <c r="B607" i="16"/>
  <c r="Y607" i="16" s="1"/>
  <c r="B608" i="16"/>
  <c r="B609" i="16"/>
  <c r="Y609" i="16" s="1"/>
  <c r="B610" i="16"/>
  <c r="B611" i="16"/>
  <c r="Y611" i="16" s="1"/>
  <c r="B612" i="16"/>
  <c r="B613" i="16"/>
  <c r="B614" i="16"/>
  <c r="B615" i="16"/>
  <c r="Y615" i="16" s="1"/>
  <c r="B616" i="16"/>
  <c r="B617" i="16"/>
  <c r="B618" i="16"/>
  <c r="Y618" i="16" s="1"/>
  <c r="B619" i="16"/>
  <c r="Y619" i="16" s="1"/>
  <c r="B620" i="16"/>
  <c r="B621" i="16"/>
  <c r="B622" i="16"/>
  <c r="B623" i="16"/>
  <c r="Y623" i="16" s="1"/>
  <c r="B624" i="16"/>
  <c r="B625" i="16"/>
  <c r="Y625" i="16" s="1"/>
  <c r="B626" i="16"/>
  <c r="Y626" i="16" s="1"/>
  <c r="B627" i="16"/>
  <c r="Y627" i="16" s="1"/>
  <c r="B628" i="16"/>
  <c r="B629" i="16"/>
  <c r="B630" i="16"/>
  <c r="B631" i="16"/>
  <c r="Y631" i="16" s="1"/>
  <c r="B632" i="16"/>
  <c r="B633" i="16"/>
  <c r="B634" i="16"/>
  <c r="Y634" i="16" s="1"/>
  <c r="B635" i="16"/>
  <c r="B636" i="16"/>
  <c r="B637" i="16"/>
  <c r="B638" i="16"/>
  <c r="B639" i="16"/>
  <c r="Y639" i="16" s="1"/>
  <c r="B640" i="16"/>
  <c r="B641" i="16"/>
  <c r="B642" i="16"/>
  <c r="B643" i="16"/>
  <c r="Y643" i="16" s="1"/>
  <c r="B644" i="16"/>
  <c r="B645" i="16"/>
  <c r="B646" i="16"/>
  <c r="B647" i="16"/>
  <c r="Y647" i="16" s="1"/>
  <c r="B648" i="16"/>
  <c r="Y648" i="16" s="1"/>
  <c r="B649" i="16"/>
  <c r="B650" i="16"/>
  <c r="B651" i="16"/>
  <c r="B652" i="16"/>
  <c r="B653" i="16"/>
  <c r="B654" i="16"/>
  <c r="B655" i="16"/>
  <c r="Y655" i="16" s="1"/>
  <c r="B656" i="16"/>
  <c r="Y656" i="16" s="1"/>
  <c r="B657" i="16"/>
  <c r="B658" i="16"/>
  <c r="B659" i="16"/>
  <c r="B660" i="16"/>
  <c r="B661" i="16"/>
  <c r="B662" i="16"/>
  <c r="B663" i="16"/>
  <c r="Y663" i="16" s="1"/>
  <c r="B664" i="16"/>
  <c r="B665" i="16"/>
  <c r="B666" i="16"/>
  <c r="B667" i="16"/>
  <c r="Y667" i="16" s="1"/>
  <c r="B668" i="16"/>
  <c r="B669" i="16"/>
  <c r="B670" i="16"/>
  <c r="B671" i="16"/>
  <c r="Y671" i="16" s="1"/>
  <c r="B672" i="16"/>
  <c r="B673" i="16"/>
  <c r="B674" i="16"/>
  <c r="B675" i="16"/>
  <c r="B676" i="16"/>
  <c r="B677" i="16"/>
  <c r="B678" i="16"/>
  <c r="B679" i="16"/>
  <c r="Y679" i="16" s="1"/>
  <c r="B680" i="16"/>
  <c r="B681" i="16"/>
  <c r="B682" i="16"/>
  <c r="B683" i="16"/>
  <c r="Y683" i="16" s="1"/>
  <c r="B684" i="16"/>
  <c r="B685" i="16"/>
  <c r="B686" i="16"/>
  <c r="B687" i="16"/>
  <c r="Y687" i="16" s="1"/>
  <c r="B688" i="16"/>
  <c r="Y688" i="16" s="1"/>
  <c r="B689" i="16"/>
  <c r="B690" i="16"/>
  <c r="B691" i="16"/>
  <c r="B692" i="16"/>
  <c r="B693" i="16"/>
  <c r="B694" i="16"/>
  <c r="B695" i="16"/>
  <c r="Y695" i="16" s="1"/>
  <c r="B696" i="16"/>
  <c r="B697" i="16"/>
  <c r="B698" i="16"/>
  <c r="Y698" i="16" s="1"/>
  <c r="B699" i="16"/>
  <c r="B700" i="16"/>
  <c r="B701" i="16"/>
  <c r="B702" i="16"/>
  <c r="B703" i="16"/>
  <c r="Y703" i="16" s="1"/>
  <c r="B704" i="16"/>
  <c r="B705" i="16"/>
  <c r="Y705" i="16" s="1"/>
  <c r="B706" i="16"/>
  <c r="B707" i="16"/>
  <c r="Y707" i="16" s="1"/>
  <c r="B708" i="16"/>
  <c r="B709" i="16"/>
  <c r="B710" i="16"/>
  <c r="B711" i="16"/>
  <c r="Y711" i="16" s="1"/>
  <c r="B712" i="16"/>
  <c r="B713" i="16"/>
  <c r="Y713" i="16" s="1"/>
  <c r="B714" i="16"/>
  <c r="B715" i="16"/>
  <c r="Y715" i="16" s="1"/>
  <c r="B716" i="16"/>
  <c r="B717" i="16"/>
  <c r="B718" i="16"/>
  <c r="B719" i="16"/>
  <c r="Y719" i="16" s="1"/>
  <c r="B720" i="16"/>
  <c r="B721" i="16"/>
  <c r="B722" i="16"/>
  <c r="B723" i="16"/>
  <c r="B724" i="16"/>
  <c r="B725" i="16"/>
  <c r="B726" i="16"/>
  <c r="B727" i="16"/>
  <c r="B728" i="16"/>
  <c r="B729" i="16"/>
  <c r="B730" i="16"/>
  <c r="Y730" i="16" s="1"/>
  <c r="B731" i="16"/>
  <c r="B732" i="16"/>
  <c r="B733" i="16"/>
  <c r="B734" i="16"/>
  <c r="B735" i="16"/>
  <c r="Y735" i="16" s="1"/>
  <c r="B736" i="16"/>
  <c r="B737" i="16"/>
  <c r="B738" i="16"/>
  <c r="B739" i="16"/>
  <c r="B740" i="16"/>
  <c r="B741" i="16"/>
  <c r="B742" i="16"/>
  <c r="B743" i="16"/>
  <c r="Y743" i="16" s="1"/>
  <c r="B744" i="16"/>
  <c r="B745" i="16"/>
  <c r="Y745" i="16" s="1"/>
  <c r="B746" i="16"/>
  <c r="B747" i="16"/>
  <c r="Y747" i="16" s="1"/>
  <c r="B748" i="16"/>
  <c r="B749" i="16"/>
  <c r="B750" i="16"/>
  <c r="B751" i="16"/>
  <c r="Y751" i="16" s="1"/>
  <c r="B752" i="16"/>
  <c r="B753" i="16"/>
  <c r="Y753" i="16" s="1"/>
  <c r="B754" i="16"/>
  <c r="B755" i="16"/>
  <c r="B756" i="16"/>
  <c r="B757" i="16"/>
  <c r="B758" i="16"/>
  <c r="B759" i="16"/>
  <c r="Y759" i="16" s="1"/>
  <c r="B760" i="16"/>
  <c r="B761" i="16"/>
  <c r="B762" i="16"/>
  <c r="Y762" i="16" s="1"/>
  <c r="B763" i="16"/>
  <c r="Y763" i="16" s="1"/>
  <c r="B764" i="16"/>
  <c r="B765" i="16"/>
  <c r="B766" i="16"/>
  <c r="B767" i="16"/>
  <c r="Y767" i="16" s="1"/>
  <c r="B768" i="16"/>
  <c r="Y768" i="16" s="1"/>
  <c r="B769" i="16"/>
  <c r="B770" i="16"/>
  <c r="Y770" i="16" s="1"/>
  <c r="B771" i="16"/>
  <c r="Y771" i="16" s="1"/>
  <c r="B772" i="16"/>
  <c r="B773" i="16"/>
  <c r="B774" i="16"/>
  <c r="B775" i="16"/>
  <c r="Y775" i="16" s="1"/>
  <c r="B776" i="16"/>
  <c r="B777" i="16"/>
  <c r="B778" i="16"/>
  <c r="Y778" i="16" s="1"/>
  <c r="B779" i="16"/>
  <c r="Y779" i="16" s="1"/>
  <c r="B780" i="16"/>
  <c r="B781" i="16"/>
  <c r="B782" i="16"/>
  <c r="B783" i="16"/>
  <c r="Y783" i="16" s="1"/>
  <c r="B784" i="16"/>
  <c r="B785" i="16"/>
  <c r="Y785" i="16" s="1"/>
  <c r="B786" i="16"/>
  <c r="B787" i="16"/>
  <c r="Y787" i="16" s="1"/>
  <c r="B788" i="16"/>
  <c r="B789" i="16"/>
  <c r="B790" i="16"/>
  <c r="B791" i="16"/>
  <c r="Y791" i="16" s="1"/>
  <c r="B792" i="16"/>
  <c r="B793" i="16"/>
  <c r="Y793" i="16" s="1"/>
  <c r="B794" i="16"/>
  <c r="Y794" i="16" s="1"/>
  <c r="B795" i="16"/>
  <c r="Y795" i="16" s="1"/>
  <c r="B796" i="16"/>
  <c r="B797" i="16"/>
  <c r="B798" i="16"/>
  <c r="B799" i="16"/>
  <c r="Y799" i="16" s="1"/>
  <c r="B800" i="16"/>
  <c r="B801" i="16"/>
  <c r="Y801" i="16" s="1"/>
  <c r="B802" i="16"/>
  <c r="B803" i="16"/>
  <c r="B804" i="16"/>
  <c r="B805" i="16"/>
  <c r="B806" i="16"/>
  <c r="B807" i="16"/>
  <c r="Y807" i="16" s="1"/>
  <c r="B808" i="16"/>
  <c r="B809" i="16"/>
  <c r="B810" i="16"/>
  <c r="Y810" i="16" s="1"/>
  <c r="B811" i="16"/>
  <c r="Y811" i="16" s="1"/>
  <c r="B812" i="16"/>
  <c r="B813" i="16"/>
  <c r="B814" i="16"/>
  <c r="B815" i="16"/>
  <c r="Y815" i="16" s="1"/>
  <c r="B816" i="16"/>
  <c r="B817" i="16"/>
  <c r="B818" i="16"/>
  <c r="Y818" i="16" s="1"/>
  <c r="B819" i="16"/>
  <c r="B820" i="16"/>
  <c r="B821" i="16"/>
  <c r="B822" i="16"/>
  <c r="B823" i="16"/>
  <c r="Y823" i="16" s="1"/>
  <c r="B824" i="16"/>
  <c r="B825" i="16"/>
  <c r="Y825" i="16" s="1"/>
  <c r="B826" i="16"/>
  <c r="B827" i="16"/>
  <c r="Y827" i="16" s="1"/>
  <c r="B828" i="16"/>
  <c r="B829" i="16"/>
  <c r="B830" i="16"/>
  <c r="B831" i="16"/>
  <c r="Y831" i="16" s="1"/>
  <c r="B832" i="16"/>
  <c r="Y832" i="16" s="1"/>
  <c r="B833" i="16"/>
  <c r="Y833" i="16" s="1"/>
  <c r="B834" i="16"/>
  <c r="B835" i="16"/>
  <c r="B836" i="16"/>
  <c r="B837" i="16"/>
  <c r="B838" i="16"/>
  <c r="B839" i="16"/>
  <c r="Y839" i="16" s="1"/>
  <c r="B840" i="16"/>
  <c r="B841" i="16"/>
  <c r="B842" i="16"/>
  <c r="Y842" i="16" s="1"/>
  <c r="B843" i="16"/>
  <c r="B844" i="16"/>
  <c r="B845" i="16"/>
  <c r="B846" i="16"/>
  <c r="B847" i="16"/>
  <c r="Y847" i="16" s="1"/>
  <c r="B848" i="16"/>
  <c r="B849" i="16"/>
  <c r="B850" i="16"/>
  <c r="Y850" i="16" s="1"/>
  <c r="B851" i="16"/>
  <c r="Y851" i="16" s="1"/>
  <c r="B852" i="16"/>
  <c r="B853" i="16"/>
  <c r="B854" i="16"/>
  <c r="B855" i="16"/>
  <c r="B856" i="16"/>
  <c r="Y856" i="16" s="1"/>
  <c r="B857" i="16"/>
  <c r="B858" i="16"/>
  <c r="B859" i="16"/>
  <c r="B860" i="16"/>
  <c r="B861" i="16"/>
  <c r="B862" i="16"/>
  <c r="B863" i="16"/>
  <c r="B864" i="16"/>
  <c r="B865" i="16"/>
  <c r="B866" i="16"/>
  <c r="B867" i="16"/>
  <c r="Y867" i="16" s="1"/>
  <c r="B868" i="16"/>
  <c r="B869" i="16"/>
  <c r="B870" i="16"/>
  <c r="B871" i="16"/>
  <c r="Y871" i="16" s="1"/>
  <c r="B872" i="16"/>
  <c r="B873" i="16"/>
  <c r="B874" i="16"/>
  <c r="Y874" i="16" s="1"/>
  <c r="B875" i="16"/>
  <c r="B876" i="16"/>
  <c r="B877" i="16"/>
  <c r="B878" i="16"/>
  <c r="B879" i="16"/>
  <c r="Y879" i="16" s="1"/>
  <c r="B880" i="16"/>
  <c r="B881" i="16"/>
  <c r="Y881" i="16" s="1"/>
  <c r="B882" i="16"/>
  <c r="B883" i="16"/>
  <c r="B884" i="16"/>
  <c r="B885" i="16"/>
  <c r="B886" i="16"/>
  <c r="B887" i="16"/>
  <c r="Y887" i="16" s="1"/>
  <c r="B888" i="16"/>
  <c r="B889" i="16"/>
  <c r="Y889" i="16" s="1"/>
  <c r="B890" i="16"/>
  <c r="B891" i="16"/>
  <c r="Y891" i="16" s="1"/>
  <c r="B892" i="16"/>
  <c r="B893" i="16"/>
  <c r="B894" i="16"/>
  <c r="B895" i="16"/>
  <c r="Y895" i="16" s="1"/>
  <c r="B896" i="16"/>
  <c r="B897" i="16"/>
  <c r="Y897" i="16" s="1"/>
  <c r="B898" i="16"/>
  <c r="B899" i="16"/>
  <c r="B900" i="16"/>
  <c r="B901" i="16"/>
  <c r="B902" i="16"/>
  <c r="B903" i="16"/>
  <c r="Y903" i="16" s="1"/>
  <c r="B904" i="16"/>
  <c r="B905" i="16"/>
  <c r="B906" i="16"/>
  <c r="Y906" i="16" s="1"/>
  <c r="B907" i="16"/>
  <c r="B908" i="16"/>
  <c r="B909" i="16"/>
  <c r="B910" i="16"/>
  <c r="B911" i="16"/>
  <c r="Y911" i="16" s="1"/>
  <c r="B912" i="16"/>
  <c r="B913" i="16"/>
  <c r="B914" i="16"/>
  <c r="B915" i="16"/>
  <c r="Y915" i="16" s="1"/>
  <c r="B916" i="16"/>
  <c r="B917" i="16"/>
  <c r="B918" i="16"/>
  <c r="B919" i="16"/>
  <c r="Y919" i="16" s="1"/>
  <c r="B920" i="16"/>
  <c r="Y920" i="16" s="1"/>
  <c r="B921" i="16"/>
  <c r="B922" i="16"/>
  <c r="Y922" i="16" s="1"/>
  <c r="B923" i="16"/>
  <c r="B924" i="16"/>
  <c r="B925" i="16"/>
  <c r="B926" i="16"/>
  <c r="B927" i="16"/>
  <c r="Y927" i="16" s="1"/>
  <c r="B928" i="16"/>
  <c r="B929" i="16"/>
  <c r="B930" i="16"/>
  <c r="B931" i="16"/>
  <c r="B932" i="16"/>
  <c r="B933" i="16"/>
  <c r="B934" i="16"/>
  <c r="B935" i="16"/>
  <c r="Y935" i="16" s="1"/>
  <c r="B936" i="16"/>
  <c r="B937" i="16"/>
  <c r="B938" i="16"/>
  <c r="B939" i="16"/>
  <c r="Y939" i="16" s="1"/>
  <c r="B940" i="16"/>
  <c r="B941" i="16"/>
  <c r="B942" i="16"/>
  <c r="B943" i="16"/>
  <c r="Y943" i="16" s="1"/>
  <c r="B944" i="16"/>
  <c r="B945" i="16"/>
  <c r="B946" i="16"/>
  <c r="B947" i="16"/>
  <c r="Y947" i="16" s="1"/>
  <c r="B948" i="16"/>
  <c r="B949" i="16"/>
  <c r="B950" i="16"/>
  <c r="B951" i="16"/>
  <c r="Y951" i="16" s="1"/>
  <c r="B952" i="16"/>
  <c r="B953" i="16"/>
  <c r="B954" i="16"/>
  <c r="B955" i="16"/>
  <c r="Y955" i="16" s="1"/>
  <c r="B956" i="16"/>
  <c r="B957" i="16"/>
  <c r="B958" i="16"/>
  <c r="B959" i="16"/>
  <c r="Y959" i="16" s="1"/>
  <c r="B960" i="16"/>
  <c r="B961" i="16"/>
  <c r="B962" i="16"/>
  <c r="B963" i="16"/>
  <c r="B964" i="16"/>
  <c r="B965" i="16"/>
  <c r="B967" i="16"/>
  <c r="B968" i="16"/>
  <c r="Y968" i="16" s="1"/>
  <c r="B969" i="16"/>
  <c r="B970" i="16"/>
  <c r="B971" i="16"/>
  <c r="B972" i="16"/>
  <c r="B973" i="16"/>
  <c r="B974" i="16"/>
  <c r="B975" i="16"/>
  <c r="B976" i="16"/>
  <c r="Y976" i="16" s="1"/>
  <c r="B977" i="16"/>
  <c r="B978" i="16"/>
  <c r="B979" i="16"/>
  <c r="B980" i="16"/>
  <c r="B981" i="16"/>
  <c r="B982" i="16"/>
  <c r="B983" i="16"/>
  <c r="B984" i="16"/>
  <c r="Y984" i="16" s="1"/>
  <c r="B985" i="16"/>
  <c r="B986" i="16"/>
  <c r="B987" i="16"/>
  <c r="B988" i="16"/>
  <c r="Y988" i="16" s="1"/>
  <c r="B989" i="16"/>
  <c r="B990" i="16"/>
  <c r="B991" i="16"/>
  <c r="B992" i="16"/>
  <c r="Y992" i="16" s="1"/>
  <c r="B993" i="16"/>
  <c r="B994" i="16"/>
  <c r="B995" i="16"/>
  <c r="B996" i="16"/>
  <c r="B997" i="16"/>
  <c r="B998" i="16"/>
  <c r="B999" i="16"/>
  <c r="B1000" i="16"/>
  <c r="Y1000" i="16" s="1"/>
  <c r="B1001" i="16"/>
  <c r="B1002" i="16"/>
  <c r="B1003" i="16"/>
  <c r="Y1003" i="16" s="1"/>
  <c r="B1004" i="16"/>
  <c r="B1005" i="16"/>
  <c r="B1006" i="16"/>
  <c r="B1007" i="16"/>
  <c r="B1008" i="16"/>
  <c r="Y1008" i="16" s="1"/>
  <c r="B1009" i="16"/>
  <c r="B1010" i="16"/>
  <c r="B1011" i="16"/>
  <c r="Y1011" i="16" s="1"/>
  <c r="B1012" i="16"/>
  <c r="Y1012" i="16" s="1"/>
  <c r="B1013" i="16"/>
  <c r="B1014" i="16"/>
  <c r="B1015" i="16"/>
  <c r="B1016" i="16"/>
  <c r="Y1016" i="16" s="1"/>
  <c r="B1017" i="16"/>
  <c r="B1018" i="16"/>
  <c r="B1019" i="16"/>
  <c r="B1020" i="16"/>
  <c r="B1021" i="16"/>
  <c r="B1022" i="16"/>
  <c r="B1023" i="16"/>
  <c r="B1024" i="16"/>
  <c r="Y1024" i="16" s="1"/>
  <c r="B1025" i="16"/>
  <c r="Y1025" i="16" s="1"/>
  <c r="B1026" i="16"/>
  <c r="B1027" i="16"/>
  <c r="B1028" i="16"/>
  <c r="Y1028" i="16" s="1"/>
  <c r="B1029" i="16"/>
  <c r="B1030" i="16"/>
  <c r="B1031" i="16"/>
  <c r="B1032" i="16"/>
  <c r="Y1032" i="16" s="1"/>
  <c r="B1033" i="16"/>
  <c r="B1034" i="16"/>
  <c r="B1035" i="16"/>
  <c r="B1036" i="16"/>
  <c r="B1037" i="16"/>
  <c r="B1038" i="16"/>
  <c r="B1039" i="16"/>
  <c r="B1040" i="16"/>
  <c r="Y1040" i="16" s="1"/>
  <c r="B1041" i="16"/>
  <c r="Y1041" i="16" s="1"/>
  <c r="B1042" i="16"/>
  <c r="B1043" i="16"/>
  <c r="B1044" i="16"/>
  <c r="B1045" i="16"/>
  <c r="B1046" i="16"/>
  <c r="B1047" i="16"/>
  <c r="B1048" i="16"/>
  <c r="Y1048" i="16" s="1"/>
  <c r="B1049" i="16"/>
  <c r="B1050" i="16"/>
  <c r="B1051" i="16"/>
  <c r="B1052" i="16"/>
  <c r="B1053" i="16"/>
  <c r="B1054" i="16"/>
  <c r="B1055" i="16"/>
  <c r="B1056" i="16"/>
  <c r="Y1056" i="16" s="1"/>
  <c r="B1057" i="16"/>
  <c r="B1058" i="16"/>
  <c r="B1059" i="16"/>
  <c r="B1060" i="16"/>
  <c r="B1061" i="16"/>
  <c r="B1062" i="16"/>
  <c r="B1063" i="16"/>
  <c r="B1064" i="16"/>
  <c r="Y1064" i="16" s="1"/>
  <c r="B1065" i="16"/>
  <c r="B1066" i="16"/>
  <c r="B1067" i="16"/>
  <c r="B1068" i="16"/>
  <c r="B1069" i="16"/>
  <c r="B1070" i="16"/>
  <c r="B1071" i="16"/>
  <c r="B1072" i="16"/>
  <c r="Y1072" i="16" s="1"/>
  <c r="B1073" i="16"/>
  <c r="Y1073" i="16" s="1"/>
  <c r="B1074" i="16"/>
  <c r="B1075" i="16"/>
  <c r="B1076" i="16"/>
  <c r="Y1076" i="16" s="1"/>
  <c r="B1077" i="16"/>
  <c r="B1078" i="16"/>
  <c r="B1079" i="16"/>
  <c r="B1080" i="16"/>
  <c r="Y1080" i="16" s="1"/>
  <c r="B1081" i="16"/>
  <c r="B1082" i="16"/>
  <c r="B1083" i="16"/>
  <c r="Y1083" i="16" s="1"/>
  <c r="B1084" i="16"/>
  <c r="Y1084" i="16" s="1"/>
  <c r="B1085" i="16"/>
  <c r="B1086" i="16"/>
  <c r="B1087" i="16"/>
  <c r="B1088" i="16"/>
  <c r="Y1088" i="16" s="1"/>
  <c r="B1089" i="16"/>
  <c r="B1090" i="16"/>
  <c r="B1091" i="16"/>
  <c r="B1092" i="16"/>
  <c r="Y1092" i="16" s="1"/>
  <c r="B1093" i="16"/>
  <c r="B1094" i="16"/>
  <c r="B1095" i="16"/>
  <c r="B1096" i="16"/>
  <c r="Y1096" i="16" s="1"/>
  <c r="B1097" i="16"/>
  <c r="B1098" i="16"/>
  <c r="B1099" i="16"/>
  <c r="Y1099" i="16" s="1"/>
  <c r="B1100" i="16"/>
  <c r="B1101" i="16"/>
  <c r="B1102" i="16"/>
  <c r="B1103" i="16"/>
  <c r="B1104" i="16"/>
  <c r="Y1104" i="16" s="1"/>
  <c r="B1105" i="16"/>
  <c r="Y1105" i="16" s="1"/>
  <c r="B1106" i="16"/>
  <c r="B1107" i="16"/>
  <c r="B1108" i="16"/>
  <c r="B1109" i="16"/>
  <c r="B1110" i="16"/>
  <c r="B1111" i="16"/>
  <c r="B1112" i="16"/>
  <c r="Y1112" i="16" s="1"/>
  <c r="B1113" i="16"/>
  <c r="Y1113" i="16" s="1"/>
  <c r="B1114" i="16"/>
  <c r="B1115" i="16"/>
  <c r="B1116" i="16"/>
  <c r="Y1116" i="16" s="1"/>
  <c r="B1117" i="16"/>
  <c r="B1118" i="16"/>
  <c r="B1119" i="16"/>
  <c r="B1120" i="16"/>
  <c r="Y1120" i="16" s="1"/>
  <c r="B1121" i="16"/>
  <c r="B1122" i="16"/>
  <c r="B1123" i="16"/>
  <c r="B1124" i="16"/>
  <c r="Y1124" i="16" s="1"/>
  <c r="B1125" i="16"/>
  <c r="B1126" i="16"/>
  <c r="B1127" i="16"/>
  <c r="B1128" i="16"/>
  <c r="Y1128" i="16" s="1"/>
  <c r="B1129" i="16"/>
  <c r="B1130" i="16"/>
  <c r="B1131" i="16"/>
  <c r="Y1131" i="16" s="1"/>
  <c r="B1132" i="16"/>
  <c r="B1133" i="16"/>
  <c r="B1134" i="16"/>
  <c r="B1135" i="16"/>
  <c r="B1136" i="16"/>
  <c r="B1137" i="16"/>
  <c r="B1138" i="16"/>
  <c r="B1139" i="16"/>
  <c r="B1140" i="16"/>
  <c r="Y1140" i="16" s="1"/>
  <c r="B1141" i="16"/>
  <c r="B1142" i="16"/>
  <c r="B1143" i="16"/>
  <c r="B1144" i="16"/>
  <c r="B1145" i="16"/>
  <c r="B1146" i="16"/>
  <c r="B1147" i="16"/>
  <c r="B1148" i="16"/>
  <c r="B1149" i="16"/>
  <c r="B1150" i="16"/>
  <c r="B1151" i="16"/>
  <c r="B1152" i="16"/>
  <c r="Y1152" i="16" s="1"/>
  <c r="B1153" i="16"/>
  <c r="B1154" i="16"/>
  <c r="B1155" i="16"/>
  <c r="B1156" i="16"/>
  <c r="Y1156" i="16" s="1"/>
  <c r="B1157" i="16"/>
  <c r="B1158" i="16"/>
  <c r="B1159" i="16"/>
  <c r="B1160" i="16"/>
  <c r="Y1160" i="16" s="1"/>
  <c r="B1161" i="16"/>
  <c r="B1162" i="16"/>
  <c r="B1163" i="16"/>
  <c r="Y1163" i="16" s="1"/>
  <c r="B1164" i="16"/>
  <c r="Y1164" i="16" s="1"/>
  <c r="B1165" i="16"/>
  <c r="B1166" i="16"/>
  <c r="B1167" i="16"/>
  <c r="B1168" i="16"/>
  <c r="Y1168" i="16" s="1"/>
  <c r="B1169" i="16"/>
  <c r="B1170" i="16"/>
  <c r="Y1170" i="16" s="1"/>
  <c r="B1171" i="16"/>
  <c r="Y1171" i="16" s="1"/>
  <c r="B1172" i="16"/>
  <c r="Y1172" i="16" s="1"/>
  <c r="B1173" i="16"/>
  <c r="B1174" i="16"/>
  <c r="B1175" i="16"/>
  <c r="B1176" i="16"/>
  <c r="Y1176" i="16" s="1"/>
  <c r="B1177" i="16"/>
  <c r="B1178" i="16"/>
  <c r="B1179" i="16"/>
  <c r="B1180" i="16"/>
  <c r="B1181" i="16"/>
  <c r="B1182" i="16"/>
  <c r="B1183" i="16"/>
  <c r="B1184" i="16"/>
  <c r="Y1184" i="16" s="1"/>
  <c r="B1185" i="16"/>
  <c r="B1186" i="16"/>
  <c r="B1187" i="16"/>
  <c r="B1188" i="16"/>
  <c r="B1189" i="16"/>
  <c r="B1190" i="16"/>
  <c r="B1191" i="16"/>
  <c r="B1192" i="16"/>
  <c r="Y1192" i="16" s="1"/>
  <c r="B1193" i="16"/>
  <c r="B1194" i="16"/>
  <c r="B1195" i="16"/>
  <c r="B1196" i="16"/>
  <c r="B1197" i="16"/>
  <c r="B1198" i="16"/>
  <c r="B1199" i="16"/>
  <c r="B1200" i="16"/>
  <c r="Y1200" i="16" s="1"/>
  <c r="B1201" i="16"/>
  <c r="B1202" i="16"/>
  <c r="B1203" i="16"/>
  <c r="B1204" i="16"/>
  <c r="Y1204" i="16" s="1"/>
  <c r="B1205" i="16"/>
  <c r="B1206" i="16"/>
  <c r="B1207" i="16"/>
  <c r="B1208" i="16"/>
  <c r="Y1208" i="16" s="1"/>
  <c r="B1209" i="16"/>
  <c r="B1210" i="16"/>
  <c r="B1211" i="16"/>
  <c r="B1212" i="16"/>
  <c r="Y1212" i="16" s="1"/>
  <c r="B1213" i="16"/>
  <c r="B1214" i="16"/>
  <c r="B1215" i="16"/>
  <c r="B1216" i="16"/>
  <c r="Y1216" i="16" s="1"/>
  <c r="B1217" i="16"/>
  <c r="B1218" i="16"/>
  <c r="B1219" i="16"/>
  <c r="Y1219" i="16" s="1"/>
  <c r="B1220" i="16"/>
  <c r="Y1220" i="16" s="1"/>
  <c r="B1221" i="16"/>
  <c r="B1222" i="16"/>
  <c r="B1223" i="16"/>
  <c r="B1224" i="16"/>
  <c r="Y1224" i="16" s="1"/>
  <c r="B1225" i="16"/>
  <c r="B1226" i="16"/>
  <c r="B1227" i="16"/>
  <c r="B1228" i="16"/>
  <c r="Y1228" i="16" s="1"/>
  <c r="B1229" i="16"/>
  <c r="B1230" i="16"/>
  <c r="B1231" i="16"/>
  <c r="B1232" i="16"/>
  <c r="Y1232" i="16" s="1"/>
  <c r="B1233" i="16"/>
  <c r="B1234" i="16"/>
  <c r="B1235" i="16"/>
  <c r="B1236" i="16"/>
  <c r="Y1236" i="16" s="1"/>
  <c r="B1237" i="16"/>
  <c r="B1238" i="16"/>
  <c r="B1239" i="16"/>
  <c r="B1240" i="16"/>
  <c r="Y1240" i="16" s="1"/>
  <c r="B1241" i="16"/>
  <c r="B1242" i="16"/>
  <c r="B1243" i="16"/>
  <c r="B1244" i="16"/>
  <c r="Y1244" i="16" s="1"/>
  <c r="B1245" i="16"/>
  <c r="B1246" i="16"/>
  <c r="B1247" i="16"/>
  <c r="B1248" i="16"/>
  <c r="B1249" i="16"/>
  <c r="B1250" i="16"/>
  <c r="Y1250" i="16" s="1"/>
  <c r="B1251" i="16"/>
  <c r="B1252" i="16"/>
  <c r="Y1252" i="16" s="1"/>
  <c r="B1253" i="16"/>
  <c r="B1254" i="16"/>
  <c r="B1255" i="16"/>
  <c r="B1256" i="16"/>
  <c r="B1257" i="16"/>
  <c r="B1258" i="16"/>
  <c r="B1259" i="16"/>
  <c r="B1260" i="16"/>
  <c r="Y1260" i="16" s="1"/>
  <c r="B1261" i="16"/>
  <c r="B1262" i="16"/>
  <c r="B1263" i="16"/>
  <c r="B1264" i="16"/>
  <c r="Y1264" i="16" s="1"/>
  <c r="B1265" i="16"/>
  <c r="B1266" i="16"/>
  <c r="Y1266" i="16" s="1"/>
  <c r="B1267" i="16"/>
  <c r="Y1267" i="16" s="1"/>
  <c r="B1268" i="16"/>
  <c r="Y1268" i="16" s="1"/>
  <c r="B1269" i="16"/>
  <c r="B1270" i="16"/>
  <c r="B1271" i="16"/>
  <c r="B1272" i="16"/>
  <c r="Y1272" i="16" s="1"/>
  <c r="B1273" i="16"/>
  <c r="B1274" i="16"/>
  <c r="B1275" i="16"/>
  <c r="B1276" i="16"/>
  <c r="Y1276" i="16" s="1"/>
  <c r="B1277" i="16"/>
  <c r="B1278" i="16"/>
  <c r="B1281" i="16"/>
  <c r="B1284" i="16"/>
  <c r="Y1284" i="16" s="1"/>
  <c r="B1285" i="16"/>
  <c r="B1286" i="16"/>
  <c r="Y1288" i="16"/>
  <c r="K63" i="10"/>
  <c r="B21" i="10"/>
  <c r="G21" i="10" s="1"/>
  <c r="H21" i="10" s="1"/>
  <c r="D21" i="10" s="1"/>
  <c r="B16" i="10"/>
  <c r="K544" i="14"/>
  <c r="J544" i="14"/>
  <c r="K543" i="14"/>
  <c r="J543" i="14"/>
  <c r="J475" i="14"/>
  <c r="K475" i="14"/>
  <c r="J474" i="14"/>
  <c r="K474" i="14"/>
  <c r="K305" i="14"/>
  <c r="J305" i="14"/>
  <c r="K304" i="14"/>
  <c r="J304" i="14"/>
  <c r="J239" i="14"/>
  <c r="K239" i="14"/>
  <c r="J238" i="14"/>
  <c r="K238" i="14"/>
  <c r="J6" i="14"/>
  <c r="K6" i="14"/>
  <c r="J9" i="14"/>
  <c r="K9" i="14"/>
  <c r="J10" i="14"/>
  <c r="K10" i="14"/>
  <c r="J11" i="14"/>
  <c r="K11" i="14"/>
  <c r="J12" i="14"/>
  <c r="K12" i="14"/>
  <c r="J14" i="14"/>
  <c r="K14" i="14"/>
  <c r="J17" i="14"/>
  <c r="K17" i="14"/>
  <c r="J13" i="14"/>
  <c r="K13" i="14"/>
  <c r="J18" i="14"/>
  <c r="K18" i="14"/>
  <c r="J19" i="14"/>
  <c r="K19" i="14"/>
  <c r="J86" i="14"/>
  <c r="K86" i="14"/>
  <c r="J89" i="14"/>
  <c r="K89" i="14"/>
  <c r="J20" i="14"/>
  <c r="K20" i="14"/>
  <c r="J87" i="14"/>
  <c r="K87" i="14"/>
  <c r="J88" i="14"/>
  <c r="K88" i="14"/>
  <c r="J21" i="14"/>
  <c r="K21" i="14"/>
  <c r="J22" i="14"/>
  <c r="K22" i="14"/>
  <c r="J23" i="14"/>
  <c r="K23" i="14"/>
  <c r="J24" i="14"/>
  <c r="K24" i="14"/>
  <c r="J25" i="14"/>
  <c r="K25" i="14"/>
  <c r="J26" i="14"/>
  <c r="K26" i="14"/>
  <c r="J137" i="14"/>
  <c r="K137" i="14"/>
  <c r="J27" i="14"/>
  <c r="K27" i="14"/>
  <c r="J28" i="14"/>
  <c r="K28" i="14"/>
  <c r="J36" i="14"/>
  <c r="K36" i="14"/>
  <c r="J29" i="14"/>
  <c r="K29" i="14"/>
  <c r="J30" i="14"/>
  <c r="K30" i="14"/>
  <c r="J31" i="14"/>
  <c r="K31" i="14"/>
  <c r="J105" i="14"/>
  <c r="K105" i="14"/>
  <c r="J32" i="14"/>
  <c r="K32" i="14"/>
  <c r="J33" i="14"/>
  <c r="K33" i="14"/>
  <c r="J221" i="14"/>
  <c r="K221" i="14"/>
  <c r="J34" i="14"/>
  <c r="K34" i="14"/>
  <c r="J35" i="14"/>
  <c r="K35" i="14"/>
  <c r="J38" i="14"/>
  <c r="K38" i="14"/>
  <c r="J41" i="14"/>
  <c r="K41" i="14"/>
  <c r="J42" i="14"/>
  <c r="K42" i="14"/>
  <c r="J43" i="14"/>
  <c r="K43" i="14"/>
  <c r="J44" i="14"/>
  <c r="K44" i="14"/>
  <c r="J46" i="14"/>
  <c r="K46" i="14"/>
  <c r="J47" i="14"/>
  <c r="K47" i="14"/>
  <c r="J49" i="14"/>
  <c r="K49" i="14"/>
  <c r="J50" i="14"/>
  <c r="K50" i="14"/>
  <c r="J51" i="14"/>
  <c r="K51" i="14"/>
  <c r="J52" i="14"/>
  <c r="K52" i="14"/>
  <c r="J45" i="14"/>
  <c r="K45" i="14"/>
  <c r="J48" i="14"/>
  <c r="K48" i="14"/>
  <c r="J53" i="14"/>
  <c r="K53" i="14"/>
  <c r="J54" i="14"/>
  <c r="K54" i="14"/>
  <c r="J55" i="14"/>
  <c r="K55" i="14"/>
  <c r="J139" i="14"/>
  <c r="K139" i="14"/>
  <c r="J144" i="14"/>
  <c r="K144" i="14"/>
  <c r="J56" i="14"/>
  <c r="K56" i="14"/>
  <c r="J57" i="14"/>
  <c r="K57" i="14"/>
  <c r="J58" i="14"/>
  <c r="K58" i="14"/>
  <c r="J60" i="14"/>
  <c r="K60" i="14"/>
  <c r="J61" i="14"/>
  <c r="K61" i="14"/>
  <c r="J63" i="14"/>
  <c r="K63" i="14"/>
  <c r="J64" i="14"/>
  <c r="K64" i="14"/>
  <c r="J202" i="14"/>
  <c r="K202" i="14"/>
  <c r="J65" i="14"/>
  <c r="K65" i="14"/>
  <c r="J66" i="14"/>
  <c r="K66" i="14"/>
  <c r="J67" i="14"/>
  <c r="K67" i="14"/>
  <c r="J68" i="14"/>
  <c r="K68" i="14"/>
  <c r="J224" i="14"/>
  <c r="K224" i="14"/>
  <c r="J69" i="14"/>
  <c r="K69" i="14"/>
  <c r="J70" i="14"/>
  <c r="K70" i="14"/>
  <c r="J74" i="14"/>
  <c r="K74" i="14"/>
  <c r="J75" i="14"/>
  <c r="K75" i="14"/>
  <c r="J76" i="14"/>
  <c r="K76" i="14"/>
  <c r="J77" i="14"/>
  <c r="K77" i="14"/>
  <c r="J78" i="14"/>
  <c r="K78" i="14"/>
  <c r="J79" i="14"/>
  <c r="K79" i="14"/>
  <c r="J80" i="14"/>
  <c r="K80" i="14"/>
  <c r="J81" i="14"/>
  <c r="K81" i="14"/>
  <c r="J82" i="14"/>
  <c r="K82" i="14"/>
  <c r="J83" i="14"/>
  <c r="K83" i="14"/>
  <c r="J84" i="14"/>
  <c r="K84" i="14"/>
  <c r="J85" i="14"/>
  <c r="K85" i="14"/>
  <c r="J90" i="14"/>
  <c r="K90" i="14"/>
  <c r="J91" i="14"/>
  <c r="K91" i="14"/>
  <c r="J92" i="14"/>
  <c r="K92" i="14"/>
  <c r="J146" i="14"/>
  <c r="K146" i="14"/>
  <c r="J162" i="14"/>
  <c r="K162" i="14"/>
  <c r="J192" i="14"/>
  <c r="K192" i="14"/>
  <c r="J93" i="14"/>
  <c r="K93" i="14"/>
  <c r="J94" i="14"/>
  <c r="K94" i="14"/>
  <c r="J95" i="14"/>
  <c r="K95" i="14"/>
  <c r="J96" i="14"/>
  <c r="K96" i="14"/>
  <c r="J97" i="14"/>
  <c r="K97" i="14"/>
  <c r="J100" i="14"/>
  <c r="K100" i="14"/>
  <c r="J98" i="14"/>
  <c r="K98" i="14"/>
  <c r="J99" i="14"/>
  <c r="K99" i="14"/>
  <c r="J101" i="14"/>
  <c r="K101" i="14"/>
  <c r="J102" i="14"/>
  <c r="K102" i="14"/>
  <c r="J103" i="14"/>
  <c r="K103" i="14"/>
  <c r="J104" i="14"/>
  <c r="K104" i="14"/>
  <c r="J107" i="14"/>
  <c r="K107" i="14"/>
  <c r="J108" i="14"/>
  <c r="K108" i="14"/>
  <c r="J109" i="14"/>
  <c r="K109" i="14"/>
  <c r="J110" i="14"/>
  <c r="K110" i="14"/>
  <c r="J155" i="14"/>
  <c r="K155" i="14"/>
  <c r="J111" i="14"/>
  <c r="K111" i="14"/>
  <c r="J112" i="14"/>
  <c r="K112" i="14"/>
  <c r="J113" i="14"/>
  <c r="K113" i="14"/>
  <c r="J114" i="14"/>
  <c r="K114" i="14"/>
  <c r="J220" i="14"/>
  <c r="K220" i="14"/>
  <c r="J115" i="14"/>
  <c r="K115" i="14"/>
  <c r="J119" i="14"/>
  <c r="K119" i="14"/>
  <c r="J120" i="14"/>
  <c r="K120" i="14"/>
  <c r="J121" i="14"/>
  <c r="K121" i="14"/>
  <c r="J118" i="14"/>
  <c r="K118" i="14"/>
  <c r="J122" i="14"/>
  <c r="K122" i="14"/>
  <c r="J123" i="14"/>
  <c r="K123" i="14"/>
  <c r="J117" i="14"/>
  <c r="K117" i="14"/>
  <c r="J124" i="14"/>
  <c r="K124" i="14"/>
  <c r="J125" i="14"/>
  <c r="K125" i="14"/>
  <c r="J126" i="14"/>
  <c r="K126" i="14"/>
  <c r="J127" i="14"/>
  <c r="K127" i="14"/>
  <c r="J128" i="14"/>
  <c r="K128" i="14"/>
  <c r="J129" i="14"/>
  <c r="K129" i="14"/>
  <c r="J191" i="14"/>
  <c r="K191" i="14"/>
  <c r="J130" i="14"/>
  <c r="K130" i="14"/>
  <c r="J131" i="14"/>
  <c r="K131" i="14"/>
  <c r="J132" i="14"/>
  <c r="K132" i="14"/>
  <c r="J133" i="14"/>
  <c r="K133" i="14"/>
  <c r="J134" i="14"/>
  <c r="K134" i="14"/>
  <c r="J135" i="14"/>
  <c r="K135" i="14"/>
  <c r="J136" i="14"/>
  <c r="K136" i="14"/>
  <c r="J138" i="14"/>
  <c r="K138" i="14"/>
  <c r="J140" i="14"/>
  <c r="K140" i="14"/>
  <c r="J141" i="14"/>
  <c r="K141" i="14"/>
  <c r="J142" i="14"/>
  <c r="K142" i="14"/>
  <c r="J143" i="14"/>
  <c r="K143" i="14"/>
  <c r="J145" i="14"/>
  <c r="K145" i="14"/>
  <c r="J151" i="14"/>
  <c r="K151" i="14"/>
  <c r="J147" i="14"/>
  <c r="K147" i="14"/>
  <c r="J150" i="14"/>
  <c r="K150" i="14"/>
  <c r="J152" i="14"/>
  <c r="K152" i="14"/>
  <c r="J153" i="14"/>
  <c r="K153" i="14"/>
  <c r="J154" i="14"/>
  <c r="K154" i="14"/>
  <c r="J156" i="14"/>
  <c r="K156" i="14"/>
  <c r="J157" i="14"/>
  <c r="K157" i="14"/>
  <c r="J158" i="14"/>
  <c r="K158" i="14"/>
  <c r="J159" i="14"/>
  <c r="K159" i="14"/>
  <c r="J160" i="14"/>
  <c r="K160" i="14"/>
  <c r="J161" i="14"/>
  <c r="K161" i="14"/>
  <c r="J163" i="14"/>
  <c r="K163" i="14"/>
  <c r="J164" i="14"/>
  <c r="K164" i="14"/>
  <c r="J165" i="14"/>
  <c r="K165" i="14"/>
  <c r="J169" i="14"/>
  <c r="K169" i="14"/>
  <c r="J166" i="14"/>
  <c r="K166" i="14"/>
  <c r="J167" i="14"/>
  <c r="K167" i="14"/>
  <c r="J168" i="14"/>
  <c r="K168" i="14"/>
  <c r="J170" i="14"/>
  <c r="K170" i="14"/>
  <c r="J171" i="14"/>
  <c r="K171" i="14"/>
  <c r="J173" i="14"/>
  <c r="K173" i="14"/>
  <c r="J174" i="14"/>
  <c r="K174" i="14"/>
  <c r="J175" i="14"/>
  <c r="K175" i="14"/>
  <c r="J227" i="14"/>
  <c r="K227" i="14"/>
  <c r="J228" i="14"/>
  <c r="K228" i="14"/>
  <c r="J229" i="14"/>
  <c r="K229" i="14"/>
  <c r="J230" i="14"/>
  <c r="K230" i="14"/>
  <c r="J231" i="14"/>
  <c r="K231" i="14"/>
  <c r="J232" i="14"/>
  <c r="K232" i="14"/>
  <c r="J178" i="14"/>
  <c r="K178" i="14"/>
  <c r="J180" i="14"/>
  <c r="K180" i="14"/>
  <c r="J5" i="14"/>
  <c r="K5" i="14"/>
  <c r="J182" i="14"/>
  <c r="K182" i="14"/>
  <c r="J183" i="14"/>
  <c r="K183" i="14"/>
  <c r="J184" i="14"/>
  <c r="K184" i="14"/>
  <c r="J185" i="14"/>
  <c r="K185" i="14"/>
  <c r="J186" i="14"/>
  <c r="K186" i="14"/>
  <c r="J187" i="14"/>
  <c r="K187" i="14"/>
  <c r="J116" i="14"/>
  <c r="K116" i="14"/>
  <c r="J181" i="14"/>
  <c r="K181" i="14"/>
  <c r="J188" i="14"/>
  <c r="K188" i="14"/>
  <c r="J189" i="14"/>
  <c r="K189" i="14"/>
  <c r="J211" i="14"/>
  <c r="K211" i="14"/>
  <c r="J190" i="14"/>
  <c r="K190" i="14"/>
  <c r="J177" i="14"/>
  <c r="K177" i="14"/>
  <c r="J179" i="14"/>
  <c r="K179" i="14"/>
  <c r="J193" i="14"/>
  <c r="K193" i="14"/>
  <c r="J194" i="14"/>
  <c r="K194" i="14"/>
  <c r="J197" i="14"/>
  <c r="K197" i="14"/>
  <c r="J196" i="14"/>
  <c r="K196" i="14"/>
  <c r="J198" i="14"/>
  <c r="K198" i="14"/>
  <c r="J199" i="14"/>
  <c r="K199" i="14"/>
  <c r="J200" i="14"/>
  <c r="K200" i="14"/>
  <c r="J201" i="14"/>
  <c r="K201" i="14"/>
  <c r="J40" i="14"/>
  <c r="K40" i="14"/>
  <c r="J62" i="14"/>
  <c r="K62" i="14"/>
  <c r="J106" i="14"/>
  <c r="K106" i="14"/>
  <c r="J172" i="14"/>
  <c r="K172" i="14"/>
  <c r="J176" i="14"/>
  <c r="K176" i="14"/>
  <c r="J204" i="14"/>
  <c r="K204" i="14"/>
  <c r="J205" i="14"/>
  <c r="K205" i="14"/>
  <c r="J15" i="14"/>
  <c r="K15" i="14"/>
  <c r="J206" i="14"/>
  <c r="K206" i="14"/>
  <c r="J207" i="14"/>
  <c r="K207" i="14"/>
  <c r="J208" i="14"/>
  <c r="K208" i="14"/>
  <c r="J209" i="14"/>
  <c r="K209" i="14"/>
  <c r="J210" i="14"/>
  <c r="K210" i="14"/>
  <c r="J212" i="14"/>
  <c r="K212" i="14"/>
  <c r="J213" i="14"/>
  <c r="K213" i="14"/>
  <c r="J214" i="14"/>
  <c r="K214" i="14"/>
  <c r="J215" i="14"/>
  <c r="K215" i="14"/>
  <c r="J216" i="14"/>
  <c r="K216" i="14"/>
  <c r="J217" i="14"/>
  <c r="K217" i="14"/>
  <c r="J7" i="14"/>
  <c r="K7" i="14"/>
  <c r="J8" i="14"/>
  <c r="K8" i="14"/>
  <c r="J16" i="14"/>
  <c r="K16" i="14"/>
  <c r="J148" i="14"/>
  <c r="K148" i="14"/>
  <c r="J149" i="14"/>
  <c r="K149" i="14"/>
  <c r="J203" i="14"/>
  <c r="K203" i="14"/>
  <c r="J218" i="14"/>
  <c r="K218" i="14"/>
  <c r="J219" i="14"/>
  <c r="K219" i="14"/>
  <c r="J222" i="14"/>
  <c r="K222" i="14"/>
  <c r="J223" i="14"/>
  <c r="K223" i="14"/>
  <c r="J225" i="14"/>
  <c r="K225" i="14"/>
  <c r="J37" i="14"/>
  <c r="K37" i="14"/>
  <c r="J226" i="14"/>
  <c r="K226" i="14"/>
  <c r="J39" i="14"/>
  <c r="K39" i="14"/>
  <c r="J71" i="14"/>
  <c r="K71" i="14"/>
  <c r="J72" i="14"/>
  <c r="K72" i="14"/>
  <c r="J73" i="14"/>
  <c r="K73" i="14"/>
  <c r="J233" i="14"/>
  <c r="K233" i="14"/>
  <c r="J234" i="14"/>
  <c r="K234" i="14"/>
  <c r="J59" i="14"/>
  <c r="K59" i="14"/>
  <c r="J235" i="14"/>
  <c r="K235" i="14"/>
  <c r="J236" i="14"/>
  <c r="K236" i="14"/>
  <c r="J237" i="14"/>
  <c r="K237" i="14"/>
  <c r="J240" i="14"/>
  <c r="K240" i="14"/>
  <c r="J241" i="14"/>
  <c r="K241" i="14"/>
  <c r="J242" i="14"/>
  <c r="K242" i="14"/>
  <c r="J245" i="14"/>
  <c r="K245" i="14"/>
  <c r="J246" i="14"/>
  <c r="K246" i="14"/>
  <c r="J247" i="14"/>
  <c r="K247" i="14"/>
  <c r="J300" i="14"/>
  <c r="K300" i="14"/>
  <c r="J248" i="14"/>
  <c r="K248" i="14"/>
  <c r="J249" i="14"/>
  <c r="K249" i="14"/>
  <c r="J250" i="14"/>
  <c r="K250" i="14"/>
  <c r="J251" i="14"/>
  <c r="K251" i="14"/>
  <c r="J252" i="14"/>
  <c r="K252" i="14"/>
  <c r="J253" i="14"/>
  <c r="K253" i="14"/>
  <c r="J254" i="14"/>
  <c r="K254" i="14"/>
  <c r="J255" i="14"/>
  <c r="K255" i="14"/>
  <c r="J256" i="14"/>
  <c r="K256" i="14"/>
  <c r="J257" i="14"/>
  <c r="K257" i="14"/>
  <c r="J258" i="14"/>
  <c r="K258" i="14"/>
  <c r="J259" i="14"/>
  <c r="K259" i="14"/>
  <c r="J260" i="14"/>
  <c r="K260" i="14"/>
  <c r="J261" i="14"/>
  <c r="K261" i="14"/>
  <c r="J262" i="14"/>
  <c r="K262" i="14"/>
  <c r="J263" i="14"/>
  <c r="K263" i="14"/>
  <c r="J264" i="14"/>
  <c r="K264" i="14"/>
  <c r="J265" i="14"/>
  <c r="K265" i="14"/>
  <c r="J266" i="14"/>
  <c r="K266" i="14"/>
  <c r="J267" i="14"/>
  <c r="K267" i="14"/>
  <c r="J268" i="14"/>
  <c r="K268" i="14"/>
  <c r="J269" i="14"/>
  <c r="K269" i="14"/>
  <c r="J270" i="14"/>
  <c r="K270" i="14"/>
  <c r="J271" i="14"/>
  <c r="K271" i="14"/>
  <c r="J272" i="14"/>
  <c r="K272" i="14"/>
  <c r="J273" i="14"/>
  <c r="K273" i="14"/>
  <c r="J274" i="14"/>
  <c r="K274" i="14"/>
  <c r="J275" i="14"/>
  <c r="K275" i="14"/>
  <c r="J276" i="14"/>
  <c r="K276" i="14"/>
  <c r="J277" i="14"/>
  <c r="K277" i="14"/>
  <c r="J278" i="14"/>
  <c r="K278" i="14"/>
  <c r="J279" i="14"/>
  <c r="K279" i="14"/>
  <c r="J280" i="14"/>
  <c r="K280" i="14"/>
  <c r="J282" i="14"/>
  <c r="K282" i="14"/>
  <c r="J283" i="14"/>
  <c r="K283" i="14"/>
  <c r="J284" i="14"/>
  <c r="K284" i="14"/>
  <c r="J285" i="14"/>
  <c r="K285" i="14"/>
  <c r="J286" i="14"/>
  <c r="K286" i="14"/>
  <c r="J287" i="14"/>
  <c r="K287" i="14"/>
  <c r="J288" i="14"/>
  <c r="K288" i="14"/>
  <c r="J289" i="14"/>
  <c r="K289" i="14"/>
  <c r="J290" i="14"/>
  <c r="K290" i="14"/>
  <c r="J291" i="14"/>
  <c r="K291" i="14"/>
  <c r="J292" i="14"/>
  <c r="K292" i="14"/>
  <c r="J293" i="14"/>
  <c r="K293" i="14"/>
  <c r="J294" i="14"/>
  <c r="K294" i="14"/>
  <c r="J295" i="14"/>
  <c r="K295" i="14"/>
  <c r="J296" i="14"/>
  <c r="K296" i="14"/>
  <c r="J297" i="14"/>
  <c r="K297" i="14"/>
  <c r="J298" i="14"/>
  <c r="K298" i="14"/>
  <c r="J299" i="14"/>
  <c r="K299" i="14"/>
  <c r="J301" i="14"/>
  <c r="K301" i="14"/>
  <c r="J302" i="14"/>
  <c r="K302" i="14"/>
  <c r="J303" i="14"/>
  <c r="K303" i="14"/>
  <c r="J306" i="14"/>
  <c r="K306" i="14"/>
  <c r="J307" i="14"/>
  <c r="K307" i="14"/>
  <c r="J310" i="14"/>
  <c r="K310" i="14"/>
  <c r="J311" i="14"/>
  <c r="K311" i="14"/>
  <c r="J312" i="14"/>
  <c r="K312" i="14"/>
  <c r="J327" i="14"/>
  <c r="K327" i="14"/>
  <c r="J328" i="14"/>
  <c r="K328" i="14"/>
  <c r="J329" i="14"/>
  <c r="K329" i="14"/>
  <c r="J313" i="14"/>
  <c r="K313" i="14"/>
  <c r="J314" i="14"/>
  <c r="K314" i="14"/>
  <c r="J319" i="14"/>
  <c r="K319" i="14"/>
  <c r="J320" i="14"/>
  <c r="K320" i="14"/>
  <c r="J322" i="14"/>
  <c r="K322" i="14"/>
  <c r="J323" i="14"/>
  <c r="K323" i="14"/>
  <c r="J324" i="14"/>
  <c r="K324" i="14"/>
  <c r="J362" i="14"/>
  <c r="K362" i="14"/>
  <c r="J363" i="14"/>
  <c r="K363" i="14"/>
  <c r="J364" i="14"/>
  <c r="K364" i="14"/>
  <c r="J380" i="14"/>
  <c r="K380" i="14"/>
  <c r="J385" i="14"/>
  <c r="K385" i="14"/>
  <c r="J459" i="14"/>
  <c r="K459" i="14"/>
  <c r="J326" i="14"/>
  <c r="K326" i="14"/>
  <c r="J365" i="14"/>
  <c r="K365" i="14"/>
  <c r="J400" i="14"/>
  <c r="K400" i="14"/>
  <c r="J330" i="14"/>
  <c r="K330" i="14"/>
  <c r="J331" i="14"/>
  <c r="K331" i="14"/>
  <c r="J332" i="14"/>
  <c r="K332" i="14"/>
  <c r="J333" i="14"/>
  <c r="K333" i="14"/>
  <c r="J334" i="14"/>
  <c r="K334" i="14"/>
  <c r="J335" i="14"/>
  <c r="K335" i="14"/>
  <c r="J338" i="14"/>
  <c r="K338" i="14"/>
  <c r="J339" i="14"/>
  <c r="K339" i="14"/>
  <c r="J340" i="14"/>
  <c r="K340" i="14"/>
  <c r="J341" i="14"/>
  <c r="K341" i="14"/>
  <c r="J342" i="14"/>
  <c r="K342" i="14"/>
  <c r="J343" i="14"/>
  <c r="K343" i="14"/>
  <c r="J344" i="14"/>
  <c r="K344" i="14"/>
  <c r="J345" i="14"/>
  <c r="K345" i="14"/>
  <c r="J346" i="14"/>
  <c r="K346" i="14"/>
  <c r="J347" i="14"/>
  <c r="K347" i="14"/>
  <c r="J348" i="14"/>
  <c r="K348" i="14"/>
  <c r="J349" i="14"/>
  <c r="K349" i="14"/>
  <c r="J350" i="14"/>
  <c r="K350" i="14"/>
  <c r="J351" i="14"/>
  <c r="K351" i="14"/>
  <c r="J352" i="14"/>
  <c r="K352" i="14"/>
  <c r="J355" i="14"/>
  <c r="K355" i="14"/>
  <c r="J356" i="14"/>
  <c r="K356" i="14"/>
  <c r="J357" i="14"/>
  <c r="K357" i="14"/>
  <c r="J375" i="14"/>
  <c r="K375" i="14"/>
  <c r="J376" i="14"/>
  <c r="K376" i="14"/>
  <c r="J358" i="14"/>
  <c r="K358" i="14"/>
  <c r="J359" i="14"/>
  <c r="K359" i="14"/>
  <c r="J451" i="14"/>
  <c r="K451" i="14"/>
  <c r="J461" i="14"/>
  <c r="K461" i="14"/>
  <c r="J468" i="14"/>
  <c r="K468" i="14"/>
  <c r="J473" i="14"/>
  <c r="K473" i="14"/>
  <c r="J360" i="14"/>
  <c r="K360" i="14"/>
  <c r="J361" i="14"/>
  <c r="K361" i="14"/>
  <c r="J467" i="14"/>
  <c r="K467" i="14"/>
  <c r="J366" i="14"/>
  <c r="K366" i="14"/>
  <c r="J367" i="14"/>
  <c r="K367" i="14"/>
  <c r="J368" i="14"/>
  <c r="K368" i="14"/>
  <c r="J369" i="14"/>
  <c r="K369" i="14"/>
  <c r="J374" i="14"/>
  <c r="K374" i="14"/>
  <c r="J445" i="14"/>
  <c r="K445" i="14"/>
  <c r="J321" i="14"/>
  <c r="K321" i="14"/>
  <c r="J372" i="14"/>
  <c r="K372" i="14"/>
  <c r="J378" i="14"/>
  <c r="K378" i="14"/>
  <c r="J379" i="14"/>
  <c r="K379" i="14"/>
  <c r="J381" i="14"/>
  <c r="K381" i="14"/>
  <c r="J382" i="14"/>
  <c r="K382" i="14"/>
  <c r="J392" i="14"/>
  <c r="K392" i="14"/>
  <c r="J383" i="14"/>
  <c r="K383" i="14"/>
  <c r="J386" i="14"/>
  <c r="K386" i="14"/>
  <c r="J387" i="14"/>
  <c r="K387" i="14"/>
  <c r="J388" i="14"/>
  <c r="K388" i="14"/>
  <c r="J453" i="14"/>
  <c r="K453" i="14"/>
  <c r="J353" i="14"/>
  <c r="K353" i="14"/>
  <c r="J389" i="14"/>
  <c r="K389" i="14"/>
  <c r="J390" i="14"/>
  <c r="K390" i="14"/>
  <c r="J391" i="14"/>
  <c r="K391" i="14"/>
  <c r="J373" i="14"/>
  <c r="K373" i="14"/>
  <c r="J393" i="14"/>
  <c r="K393" i="14"/>
  <c r="J394" i="14"/>
  <c r="K394" i="14"/>
  <c r="J395" i="14"/>
  <c r="K395" i="14"/>
  <c r="J396" i="14"/>
  <c r="K396" i="14"/>
  <c r="J397" i="14"/>
  <c r="K397" i="14"/>
  <c r="J398" i="14"/>
  <c r="K398" i="14"/>
  <c r="J399" i="14"/>
  <c r="K399" i="14"/>
  <c r="J401" i="14"/>
  <c r="K401" i="14"/>
  <c r="J402" i="14"/>
  <c r="K402" i="14"/>
  <c r="J337" i="14"/>
  <c r="K337" i="14"/>
  <c r="J403" i="14"/>
  <c r="K403" i="14"/>
  <c r="J404" i="14"/>
  <c r="K404" i="14"/>
  <c r="J405" i="14"/>
  <c r="K405" i="14"/>
  <c r="J406" i="14"/>
  <c r="K406" i="14"/>
  <c r="J407" i="14"/>
  <c r="K407" i="14"/>
  <c r="J408" i="14"/>
  <c r="K408" i="14"/>
  <c r="J409" i="14"/>
  <c r="K409" i="14"/>
  <c r="J410" i="14"/>
  <c r="K410" i="14"/>
  <c r="J411" i="14"/>
  <c r="K411" i="14"/>
  <c r="J315" i="14"/>
  <c r="K315" i="14"/>
  <c r="J412" i="14"/>
  <c r="K412" i="14"/>
  <c r="J316" i="14"/>
  <c r="K316" i="14"/>
  <c r="J371" i="14"/>
  <c r="K371" i="14"/>
  <c r="J413" i="14"/>
  <c r="K413" i="14"/>
  <c r="J418" i="14"/>
  <c r="K418" i="14"/>
  <c r="J419" i="14"/>
  <c r="K419" i="14"/>
  <c r="J414" i="14"/>
  <c r="K414" i="14"/>
  <c r="J415" i="14"/>
  <c r="K415" i="14"/>
  <c r="J416" i="14"/>
  <c r="K416" i="14"/>
  <c r="J417" i="14"/>
  <c r="K417" i="14"/>
  <c r="J420" i="14"/>
  <c r="K420" i="14"/>
  <c r="J336" i="14"/>
  <c r="K336" i="14"/>
  <c r="J421" i="14"/>
  <c r="K421" i="14"/>
  <c r="J422" i="14"/>
  <c r="K422" i="14"/>
  <c r="J423" i="14"/>
  <c r="K423" i="14"/>
  <c r="J424" i="14"/>
  <c r="K424" i="14"/>
  <c r="J425" i="14"/>
  <c r="K425" i="14"/>
  <c r="J426" i="14"/>
  <c r="K426" i="14"/>
  <c r="J427" i="14"/>
  <c r="K427" i="14"/>
  <c r="J438" i="14"/>
  <c r="K438" i="14"/>
  <c r="J428" i="14"/>
  <c r="K428" i="14"/>
  <c r="J317" i="14"/>
  <c r="K317" i="14"/>
  <c r="J429" i="14"/>
  <c r="K429" i="14"/>
  <c r="J430" i="14"/>
  <c r="K430" i="14"/>
  <c r="J431" i="14"/>
  <c r="K431" i="14"/>
  <c r="J432" i="14"/>
  <c r="K432" i="14"/>
  <c r="J433" i="14"/>
  <c r="K433" i="14"/>
  <c r="J434" i="14"/>
  <c r="K434" i="14"/>
  <c r="J377" i="14"/>
  <c r="K377" i="14"/>
  <c r="J435" i="14"/>
  <c r="K435" i="14"/>
  <c r="J436" i="14"/>
  <c r="K436" i="14"/>
  <c r="J455" i="14"/>
  <c r="K455" i="14"/>
  <c r="J370" i="14"/>
  <c r="K370" i="14"/>
  <c r="J384" i="14"/>
  <c r="K384" i="14"/>
  <c r="J437" i="14"/>
  <c r="K437" i="14"/>
  <c r="J439" i="14"/>
  <c r="K439" i="14"/>
  <c r="J440" i="14"/>
  <c r="K440" i="14"/>
  <c r="J441" i="14"/>
  <c r="K441" i="14"/>
  <c r="J442" i="14"/>
  <c r="K442" i="14"/>
  <c r="J443" i="14"/>
  <c r="K443" i="14"/>
  <c r="J444" i="14"/>
  <c r="K444" i="14"/>
  <c r="J447" i="14"/>
  <c r="K447" i="14"/>
  <c r="J448" i="14"/>
  <c r="K448" i="14"/>
  <c r="J449" i="14"/>
  <c r="K449" i="14"/>
  <c r="J450" i="14"/>
  <c r="K450" i="14"/>
  <c r="J454" i="14"/>
  <c r="K454" i="14"/>
  <c r="J456" i="14"/>
  <c r="K456" i="14"/>
  <c r="J457" i="14"/>
  <c r="K457" i="14"/>
  <c r="J458" i="14"/>
  <c r="K458" i="14"/>
  <c r="J318" i="14"/>
  <c r="K318" i="14"/>
  <c r="J354" i="14"/>
  <c r="K354" i="14"/>
  <c r="J462" i="14"/>
  <c r="K462" i="14"/>
  <c r="J463" i="14"/>
  <c r="K463" i="14"/>
  <c r="J466" i="14"/>
  <c r="K466" i="14"/>
  <c r="J471" i="14"/>
  <c r="K471" i="14"/>
  <c r="J325" i="14"/>
  <c r="K325" i="14"/>
  <c r="J446" i="14"/>
  <c r="K446" i="14"/>
  <c r="J452" i="14"/>
  <c r="K452" i="14"/>
  <c r="J460" i="14"/>
  <c r="K460" i="14"/>
  <c r="J469" i="14"/>
  <c r="K469" i="14"/>
  <c r="J470" i="14"/>
  <c r="K470" i="14"/>
  <c r="J472" i="14"/>
  <c r="K472" i="14"/>
  <c r="J476" i="14"/>
  <c r="K476" i="14"/>
  <c r="J478" i="14"/>
  <c r="K478" i="14"/>
  <c r="J479" i="14"/>
  <c r="K479" i="14"/>
  <c r="J480" i="14"/>
  <c r="K480" i="14"/>
  <c r="J477" i="14"/>
  <c r="K477" i="14"/>
  <c r="J481" i="14"/>
  <c r="K481" i="14"/>
  <c r="J485" i="14"/>
  <c r="K485" i="14"/>
  <c r="J487" i="14"/>
  <c r="K487" i="14"/>
  <c r="J542" i="14"/>
  <c r="K542" i="14"/>
  <c r="J488" i="14"/>
  <c r="K488" i="14"/>
  <c r="J489" i="14"/>
  <c r="K489" i="14"/>
  <c r="J490" i="14"/>
  <c r="K490" i="14"/>
  <c r="J491" i="14"/>
  <c r="K491" i="14"/>
  <c r="J486" i="14"/>
  <c r="K486" i="14"/>
  <c r="J492" i="14"/>
  <c r="K492" i="14"/>
  <c r="J515" i="14"/>
  <c r="K515" i="14"/>
  <c r="J516" i="14"/>
  <c r="K516" i="14"/>
  <c r="J493" i="14"/>
  <c r="K493" i="14"/>
  <c r="J494" i="14"/>
  <c r="K494" i="14"/>
  <c r="J495" i="14"/>
  <c r="K495" i="14"/>
  <c r="J496" i="14"/>
  <c r="K496" i="14"/>
  <c r="J497" i="14"/>
  <c r="K497" i="14"/>
  <c r="J498" i="14"/>
  <c r="K498" i="14"/>
  <c r="J484" i="14"/>
  <c r="K484" i="14"/>
  <c r="J499" i="14"/>
  <c r="K499" i="14"/>
  <c r="J500" i="14"/>
  <c r="K500" i="14"/>
  <c r="J501" i="14"/>
  <c r="K501" i="14"/>
  <c r="J503" i="14"/>
  <c r="K503" i="14"/>
  <c r="J504" i="14"/>
  <c r="K504" i="14"/>
  <c r="J505" i="14"/>
  <c r="K505" i="14"/>
  <c r="J506" i="14"/>
  <c r="K506" i="14"/>
  <c r="J502" i="14"/>
  <c r="K502" i="14"/>
  <c r="J507" i="14"/>
  <c r="K507" i="14"/>
  <c r="J508" i="14"/>
  <c r="K508" i="14"/>
  <c r="J509" i="14"/>
  <c r="K509" i="14"/>
  <c r="J510" i="14"/>
  <c r="K510" i="14"/>
  <c r="J511" i="14"/>
  <c r="K511" i="14"/>
  <c r="J512" i="14"/>
  <c r="K512" i="14"/>
  <c r="J513" i="14"/>
  <c r="K513" i="14"/>
  <c r="J514" i="14"/>
  <c r="K514" i="14"/>
  <c r="J517" i="14"/>
  <c r="K517" i="14"/>
  <c r="J518" i="14"/>
  <c r="K518" i="14"/>
  <c r="J519" i="14"/>
  <c r="K519" i="14"/>
  <c r="J520" i="14"/>
  <c r="K520" i="14"/>
  <c r="J482" i="14"/>
  <c r="K482" i="14"/>
  <c r="J483" i="14"/>
  <c r="K483" i="14"/>
  <c r="J521" i="14"/>
  <c r="K521" i="14"/>
  <c r="J522" i="14"/>
  <c r="K522" i="14"/>
  <c r="J523" i="14"/>
  <c r="K523" i="14"/>
  <c r="J524" i="14"/>
  <c r="K524" i="14"/>
  <c r="J525" i="14"/>
  <c r="K525" i="14"/>
  <c r="J526" i="14"/>
  <c r="K526" i="14"/>
  <c r="J527" i="14"/>
  <c r="K527" i="14"/>
  <c r="J528" i="14"/>
  <c r="K528" i="14"/>
  <c r="J530" i="14"/>
  <c r="K530" i="14"/>
  <c r="J531" i="14"/>
  <c r="K531" i="14"/>
  <c r="J532" i="14"/>
  <c r="K532" i="14"/>
  <c r="J533" i="14"/>
  <c r="K533" i="14"/>
  <c r="J534" i="14"/>
  <c r="K534" i="14"/>
  <c r="D11" i="4"/>
  <c r="B4" i="10"/>
  <c r="G4" i="10" s="1"/>
  <c r="H4" i="10" s="1"/>
  <c r="B5" i="10"/>
  <c r="B15" i="10"/>
  <c r="B17" i="10"/>
  <c r="G17" i="10" s="1"/>
  <c r="H17" i="10" s="1"/>
  <c r="B18" i="10"/>
  <c r="K62" i="10"/>
  <c r="K64" i="10"/>
  <c r="K65" i="10"/>
  <c r="B51" i="10"/>
  <c r="G51" i="10" s="1"/>
  <c r="B52" i="10"/>
  <c r="G52" i="10" s="1"/>
  <c r="B6" i="10"/>
  <c r="G6" i="10" s="1"/>
  <c r="B20" i="10"/>
  <c r="F25" i="10" s="1"/>
  <c r="G20" i="10"/>
  <c r="H20" i="10" s="1"/>
  <c r="D20" i="10" s="1"/>
  <c r="B22" i="10"/>
  <c r="B23" i="10"/>
  <c r="G23" i="10"/>
  <c r="H23" i="10" s="1"/>
  <c r="B28" i="10"/>
  <c r="G28" i="10" s="1"/>
  <c r="B9" i="10"/>
  <c r="G9" i="10" s="1"/>
  <c r="H9" i="10" s="1"/>
  <c r="B8" i="10"/>
  <c r="G8" i="10" s="1"/>
  <c r="H8" i="10" s="1"/>
  <c r="D8" i="10" s="1"/>
  <c r="B7" i="10"/>
  <c r="G7" i="10" s="1"/>
  <c r="H7" i="10" s="1"/>
  <c r="D7" i="10" s="1"/>
  <c r="B13" i="10"/>
  <c r="G13" i="10" s="1"/>
  <c r="H13" i="10" s="1"/>
  <c r="D13" i="10" s="1"/>
  <c r="P39" i="4"/>
  <c r="P40" i="4"/>
  <c r="P41" i="4"/>
  <c r="P38" i="4"/>
  <c r="B12" i="10"/>
  <c r="G12" i="10" s="1"/>
  <c r="H12" i="10" s="1"/>
  <c r="D12" i="10" s="1"/>
  <c r="G61" i="10"/>
  <c r="B61" i="10"/>
  <c r="B31" i="10"/>
  <c r="G31" i="10" s="1"/>
  <c r="B32" i="10"/>
  <c r="G32" i="10" s="1"/>
  <c r="B33" i="10"/>
  <c r="G33" i="10"/>
  <c r="B30" i="10"/>
  <c r="G30" i="10" s="1"/>
  <c r="B11" i="10"/>
  <c r="G11" i="10" s="1"/>
  <c r="H11" i="10" s="1"/>
  <c r="B10" i="10"/>
  <c r="G10" i="10" s="1"/>
  <c r="H10" i="10" s="1"/>
  <c r="D10" i="10" s="1"/>
  <c r="A5" i="4"/>
  <c r="B60" i="10"/>
  <c r="G60" i="10" s="1"/>
  <c r="B59" i="10"/>
  <c r="G59" i="10" s="1"/>
  <c r="B58" i="10"/>
  <c r="G58" i="10" s="1"/>
  <c r="B57" i="10"/>
  <c r="G57" i="10" s="1"/>
  <c r="B56" i="10"/>
  <c r="G56" i="10" s="1"/>
  <c r="B55" i="10"/>
  <c r="G55" i="10" s="1"/>
  <c r="B54" i="10"/>
  <c r="G54" i="10" s="1"/>
  <c r="B53" i="10"/>
  <c r="G53" i="10" s="1"/>
  <c r="B50" i="10"/>
  <c r="G50" i="10" s="1"/>
  <c r="B48" i="10"/>
  <c r="G48" i="10" s="1"/>
  <c r="B47" i="10"/>
  <c r="G47" i="10"/>
  <c r="B46" i="10"/>
  <c r="G46" i="10" s="1"/>
  <c r="B45" i="10"/>
  <c r="G45" i="10" s="1"/>
  <c r="B43" i="10"/>
  <c r="G43" i="10"/>
  <c r="B42" i="10"/>
  <c r="G42" i="10" s="1"/>
  <c r="B41" i="10"/>
  <c r="G41" i="10" s="1"/>
  <c r="B40" i="10"/>
  <c r="G40" i="10" s="1"/>
  <c r="B38" i="10"/>
  <c r="G38" i="10" s="1"/>
  <c r="B37" i="10"/>
  <c r="G37" i="10"/>
  <c r="B36" i="10"/>
  <c r="G36" i="10" s="1"/>
  <c r="B35" i="10"/>
  <c r="G35" i="10" s="1"/>
  <c r="B27" i="10"/>
  <c r="G27" i="10"/>
  <c r="B26" i="10"/>
  <c r="G26" i="10" s="1"/>
  <c r="B25" i="10"/>
  <c r="G25" i="10" s="1"/>
  <c r="H25" i="10" s="1"/>
  <c r="H14" i="10"/>
  <c r="H61" i="4"/>
  <c r="G15" i="10"/>
  <c r="H15" i="10" s="1"/>
  <c r="D15" i="10" s="1"/>
  <c r="B1279" i="16"/>
  <c r="C1279" i="16"/>
  <c r="D17" i="10"/>
  <c r="B31" i="3"/>
  <c r="Y1005" i="16"/>
  <c r="S1275" i="16"/>
  <c r="I1275" i="16" s="1"/>
  <c r="S595" i="16"/>
  <c r="D595" i="16" s="1"/>
  <c r="S583" i="16"/>
  <c r="S394" i="16"/>
  <c r="S921" i="16"/>
  <c r="E921" i="16" s="1"/>
  <c r="S1274" i="16"/>
  <c r="S425" i="16"/>
  <c r="H425" i="16" s="1"/>
  <c r="S993" i="16"/>
  <c r="F993" i="16" s="1"/>
  <c r="S1236" i="16"/>
  <c r="S1192" i="16"/>
  <c r="S1112" i="16"/>
  <c r="J1112" i="16" s="1"/>
  <c r="S312" i="16"/>
  <c r="F312" i="16" s="1"/>
  <c r="S1113" i="16"/>
  <c r="S801" i="16"/>
  <c r="H801" i="16" s="1"/>
  <c r="S1109" i="16"/>
  <c r="H1109" i="16" s="1"/>
  <c r="S601" i="16"/>
  <c r="S1286" i="16"/>
  <c r="H1286" i="16" s="1"/>
  <c r="S977" i="16"/>
  <c r="S897" i="16"/>
  <c r="S1260" i="16"/>
  <c r="J1260" i="16" s="1"/>
  <c r="S627" i="16"/>
  <c r="S1186" i="16"/>
  <c r="H1186" i="16" s="1"/>
  <c r="S634" i="16"/>
  <c r="F634" i="16" s="1"/>
  <c r="S1025" i="16"/>
  <c r="H1025" i="16" s="1"/>
  <c r="S546" i="16"/>
  <c r="S538" i="16"/>
  <c r="I538" i="16" s="1"/>
  <c r="S491" i="16"/>
  <c r="D491" i="16" s="1"/>
  <c r="S464" i="16"/>
  <c r="S408" i="16"/>
  <c r="G408" i="16" s="1"/>
  <c r="S522" i="16"/>
  <c r="J522" i="16" s="1"/>
  <c r="S626" i="16"/>
  <c r="H626" i="16" s="1"/>
  <c r="S618" i="16"/>
  <c r="S586" i="16"/>
  <c r="J586" i="16" s="1"/>
  <c r="Y586" i="16"/>
  <c r="S480" i="16"/>
  <c r="D480" i="16" s="1"/>
  <c r="S460" i="16"/>
  <c r="I460" i="16" s="1"/>
  <c r="S456" i="16"/>
  <c r="J456" i="16" s="1"/>
  <c r="S448" i="16"/>
  <c r="J448" i="16" s="1"/>
  <c r="S1227" i="16"/>
  <c r="J1227" i="16" s="1"/>
  <c r="S1088" i="16"/>
  <c r="S1080" i="16"/>
  <c r="S657" i="16"/>
  <c r="S593" i="16"/>
  <c r="S521" i="16"/>
  <c r="S467" i="16"/>
  <c r="D467" i="16" s="1"/>
  <c r="S1204" i="16"/>
  <c r="I1204" i="16" s="1"/>
  <c r="S1208" i="16"/>
  <c r="F1208" i="16" s="1"/>
  <c r="S1172" i="16"/>
  <c r="D1172" i="16" s="1"/>
  <c r="S1128" i="16"/>
  <c r="S1052" i="16"/>
  <c r="S1036" i="16"/>
  <c r="S912" i="16"/>
  <c r="J912" i="16" s="1"/>
  <c r="S625" i="16"/>
  <c r="E625" i="16" s="1"/>
  <c r="S996" i="16"/>
  <c r="S313" i="16"/>
  <c r="E313" i="16" s="1"/>
  <c r="S984" i="16"/>
  <c r="S1163" i="16"/>
  <c r="D1163" i="16" s="1"/>
  <c r="Y1019" i="16"/>
  <c r="S831" i="16"/>
  <c r="S775" i="16"/>
  <c r="D775" i="16" s="1"/>
  <c r="S1256" i="16"/>
  <c r="J1256" i="16" s="1"/>
  <c r="S810" i="16"/>
  <c r="G810" i="16" s="1"/>
  <c r="S704" i="16"/>
  <c r="E704" i="16" s="1"/>
  <c r="S680" i="16"/>
  <c r="S569" i="16"/>
  <c r="S537" i="16"/>
  <c r="G537" i="16" s="1"/>
  <c r="S529" i="16"/>
  <c r="S513" i="16"/>
  <c r="S463" i="16"/>
  <c r="H463" i="16" s="1"/>
  <c r="S459" i="16"/>
  <c r="J459" i="16" s="1"/>
  <c r="S360" i="16"/>
  <c r="J360" i="16" s="1"/>
  <c r="S1205" i="16"/>
  <c r="I1205" i="16" s="1"/>
  <c r="S1121" i="16"/>
  <c r="Y1121" i="16"/>
  <c r="S825" i="16"/>
  <c r="S785" i="16"/>
  <c r="S632" i="16"/>
  <c r="D632" i="16" s="1"/>
  <c r="S371" i="16"/>
  <c r="J371" i="16" s="1"/>
  <c r="S1257" i="16"/>
  <c r="S1200" i="16"/>
  <c r="I1200" i="16" s="1"/>
  <c r="S552" i="16"/>
  <c r="S914" i="16"/>
  <c r="S839" i="16"/>
  <c r="F839" i="16" s="1"/>
  <c r="S729" i="16"/>
  <c r="E729" i="16" s="1"/>
  <c r="S706" i="16"/>
  <c r="G706" i="16" s="1"/>
  <c r="S607" i="16"/>
  <c r="S488" i="16"/>
  <c r="G488" i="16" s="1"/>
  <c r="Y488" i="16"/>
  <c r="S417" i="16"/>
  <c r="E417" i="16" s="1"/>
  <c r="S401" i="16"/>
  <c r="S393" i="16"/>
  <c r="S519" i="16"/>
  <c r="D519" i="16" s="1"/>
  <c r="S745" i="16"/>
  <c r="S482" i="16"/>
  <c r="E482" i="16" s="1"/>
  <c r="S890" i="16"/>
  <c r="G890" i="16" s="1"/>
  <c r="S536" i="16"/>
  <c r="J536" i="16" s="1"/>
  <c r="Y434" i="16"/>
  <c r="S1259" i="16"/>
  <c r="E1259" i="16" s="1"/>
  <c r="S1252" i="16"/>
  <c r="S1244" i="16"/>
  <c r="D1244" i="16" s="1"/>
  <c r="S906" i="16"/>
  <c r="D906" i="16" s="1"/>
  <c r="Y760" i="16"/>
  <c r="S619" i="16"/>
  <c r="S611" i="16"/>
  <c r="G611" i="16" s="1"/>
  <c r="S385" i="16"/>
  <c r="S378" i="16"/>
  <c r="E378" i="16" s="1"/>
  <c r="S592" i="16"/>
  <c r="E592" i="16" s="1"/>
  <c r="S1000" i="16"/>
  <c r="Y736" i="16"/>
  <c r="S1194" i="16"/>
  <c r="S1232" i="16"/>
  <c r="I1232" i="16" s="1"/>
  <c r="S291" i="16"/>
  <c r="D475" i="16"/>
  <c r="F1018" i="16"/>
  <c r="G1018" i="16"/>
  <c r="S1012" i="16"/>
  <c r="E1012" i="16" s="1"/>
  <c r="S1008" i="16"/>
  <c r="F1008" i="16" s="1"/>
  <c r="S1155" i="16"/>
  <c r="I1155" i="16" s="1"/>
  <c r="S1004" i="16"/>
  <c r="G1097" i="16"/>
  <c r="S1220" i="16"/>
  <c r="F1220" i="16" s="1"/>
  <c r="S705" i="16"/>
  <c r="F705" i="16" s="1"/>
  <c r="S683" i="16"/>
  <c r="J683" i="16" s="1"/>
  <c r="S648" i="16"/>
  <c r="H648" i="16" s="1"/>
  <c r="S1162" i="16"/>
  <c r="H1162" i="16" s="1"/>
  <c r="S671" i="16"/>
  <c r="I671" i="16" s="1"/>
  <c r="S1148" i="16"/>
  <c r="S1073" i="16"/>
  <c r="S889" i="16"/>
  <c r="H889" i="16" s="1"/>
  <c r="S793" i="16"/>
  <c r="S514" i="16"/>
  <c r="Y641" i="16"/>
  <c r="J588" i="16"/>
  <c r="H1084" i="16"/>
  <c r="E1084" i="16"/>
  <c r="G1084" i="16"/>
  <c r="H475" i="16"/>
  <c r="I874" i="16"/>
  <c r="S847" i="16"/>
  <c r="S836" i="16"/>
  <c r="S771" i="16"/>
  <c r="G771" i="16" s="1"/>
  <c r="S409" i="16"/>
  <c r="E409" i="16" s="1"/>
  <c r="S386" i="16"/>
  <c r="I386" i="16" s="1"/>
  <c r="S1077" i="16"/>
  <c r="I1077" i="16" s="1"/>
  <c r="Y1077" i="16"/>
  <c r="S832" i="16"/>
  <c r="H832" i="16" s="1"/>
  <c r="S679" i="16"/>
  <c r="D679" i="16" s="1"/>
  <c r="S672" i="16"/>
  <c r="Y370" i="16"/>
  <c r="S363" i="16"/>
  <c r="Y328" i="16"/>
  <c r="S328" i="16"/>
  <c r="D328" i="16" s="1"/>
  <c r="I298" i="16"/>
  <c r="S282" i="16"/>
  <c r="H282" i="16" s="1"/>
  <c r="Y266" i="16"/>
  <c r="S1048" i="16"/>
  <c r="J1048" i="16" s="1"/>
  <c r="S1037" i="16"/>
  <c r="F1037" i="16" s="1"/>
  <c r="S946" i="16"/>
  <c r="Y946" i="16"/>
  <c r="S850" i="16"/>
  <c r="E850" i="16" s="1"/>
  <c r="S667" i="16"/>
  <c r="J667" i="16" s="1"/>
  <c r="S656" i="16"/>
  <c r="J656" i="16" s="1"/>
  <c r="S609" i="16"/>
  <c r="J609" i="16" s="1"/>
  <c r="S545" i="16"/>
  <c r="S474" i="16"/>
  <c r="E474" i="16" s="1"/>
  <c r="Y396" i="16"/>
  <c r="S379" i="16"/>
  <c r="S338" i="16"/>
  <c r="J338" i="16" s="1"/>
  <c r="S281" i="16"/>
  <c r="H281" i="16" s="1"/>
  <c r="S602" i="16"/>
  <c r="E602" i="16" s="1"/>
  <c r="S591" i="16"/>
  <c r="S305" i="16"/>
  <c r="G1033" i="16"/>
  <c r="F1033" i="16"/>
  <c r="S969" i="16"/>
  <c r="S697" i="16"/>
  <c r="E697" i="16" s="1"/>
  <c r="Y690" i="16"/>
  <c r="S690" i="16"/>
  <c r="S664" i="16"/>
  <c r="S652" i="16"/>
  <c r="S594" i="16"/>
  <c r="H594" i="16" s="1"/>
  <c r="S556" i="16"/>
  <c r="S400" i="16"/>
  <c r="S1261" i="16"/>
  <c r="S1258" i="16"/>
  <c r="S1124" i="16"/>
  <c r="I1124" i="16" s="1"/>
  <c r="S1120" i="16"/>
  <c r="I1120" i="16" s="1"/>
  <c r="S1105" i="16"/>
  <c r="I1018" i="16"/>
  <c r="S1228" i="16"/>
  <c r="F1228" i="16" s="1"/>
  <c r="S1051" i="16"/>
  <c r="J1051" i="16" s="1"/>
  <c r="S1016" i="16"/>
  <c r="S1001" i="16"/>
  <c r="Y1001" i="16"/>
  <c r="S922" i="16"/>
  <c r="J922" i="16" s="1"/>
  <c r="Y636" i="16"/>
  <c r="S1276" i="16"/>
  <c r="E1276" i="16" s="1"/>
  <c r="S506" i="16"/>
  <c r="E506" i="16" s="1"/>
  <c r="Y981" i="16"/>
  <c r="S827" i="16"/>
  <c r="J827" i="16" s="1"/>
  <c r="S779" i="16"/>
  <c r="F779" i="16" s="1"/>
  <c r="S737" i="16"/>
  <c r="S651" i="16"/>
  <c r="S499" i="16"/>
  <c r="F499" i="16" s="1"/>
  <c r="I1084" i="16"/>
  <c r="J1084" i="16"/>
  <c r="H874" i="16"/>
  <c r="S778" i="16"/>
  <c r="Y728" i="16"/>
  <c r="S728" i="16"/>
  <c r="H728" i="16" s="1"/>
  <c r="S585" i="16"/>
  <c r="S579" i="16"/>
  <c r="S527" i="16"/>
  <c r="H527" i="16" s="1"/>
  <c r="S523" i="16"/>
  <c r="S351" i="16"/>
  <c r="Y336" i="16"/>
  <c r="S1176" i="16"/>
  <c r="S1140" i="16"/>
  <c r="G1140" i="16" s="1"/>
  <c r="S1076" i="16"/>
  <c r="D1076" i="16" s="1"/>
  <c r="S1064" i="16"/>
  <c r="J1064" i="16" s="1"/>
  <c r="S1234" i="16"/>
  <c r="Y1234" i="16"/>
  <c r="S1139" i="16"/>
  <c r="F1139" i="16" s="1"/>
  <c r="Y1139" i="16"/>
  <c r="S1060" i="16"/>
  <c r="J1060" i="16" s="1"/>
  <c r="S930" i="16"/>
  <c r="G930" i="16" s="1"/>
  <c r="Y930" i="16"/>
  <c r="S615" i="16"/>
  <c r="F615" i="16" s="1"/>
  <c r="S487" i="16"/>
  <c r="I487" i="16" s="1"/>
  <c r="S321" i="16"/>
  <c r="I321" i="16" s="1"/>
  <c r="S306" i="16"/>
  <c r="F306" i="16" s="1"/>
  <c r="F989" i="16"/>
  <c r="Y989" i="16"/>
  <c r="S1081" i="16"/>
  <c r="F1081" i="16" s="1"/>
  <c r="S347" i="16"/>
  <c r="J347" i="16" s="1"/>
  <c r="S770" i="16"/>
  <c r="F770" i="16" s="1"/>
  <c r="S273" i="16"/>
  <c r="E273" i="16" s="1"/>
  <c r="S689" i="16"/>
  <c r="S267" i="16"/>
  <c r="I495" i="16"/>
  <c r="G874" i="16"/>
  <c r="G1041" i="16"/>
  <c r="G1211" i="16"/>
  <c r="J352" i="16"/>
  <c r="G1264" i="16"/>
  <c r="G744" i="16"/>
  <c r="I471" i="16"/>
  <c r="F471" i="16"/>
  <c r="H264" i="16"/>
  <c r="D1212" i="16"/>
  <c r="I561" i="16"/>
  <c r="E352" i="16"/>
  <c r="F809" i="16"/>
  <c r="F507" i="16"/>
  <c r="H839" i="16"/>
  <c r="D1061" i="16"/>
  <c r="I1019" i="16"/>
  <c r="H448" i="16"/>
  <c r="J479" i="16"/>
  <c r="G479" i="16"/>
  <c r="I1264" i="16"/>
  <c r="E1264" i="16"/>
  <c r="J914" i="16"/>
  <c r="D674" i="16"/>
  <c r="F455" i="16"/>
  <c r="I663" i="16"/>
  <c r="F460" i="16"/>
  <c r="H503" i="16"/>
  <c r="E507" i="16"/>
  <c r="E842" i="16"/>
  <c r="H842" i="16"/>
  <c r="H528" i="16"/>
  <c r="J704" i="16"/>
  <c r="H704" i="16"/>
  <c r="F704" i="16"/>
  <c r="D704" i="16"/>
  <c r="F1161" i="16"/>
  <c r="I344" i="16"/>
  <c r="H1004" i="16"/>
  <c r="E659" i="16"/>
  <c r="G659" i="16"/>
  <c r="G914" i="16"/>
  <c r="F760" i="16"/>
  <c r="F842" i="16"/>
  <c r="I842" i="16"/>
  <c r="G842" i="16"/>
  <c r="J288" i="16"/>
  <c r="F348" i="16"/>
  <c r="G683" i="16"/>
  <c r="E683" i="16"/>
  <c r="J289" i="16"/>
  <c r="F683" i="16"/>
  <c r="D1004" i="16"/>
  <c r="H683" i="16"/>
  <c r="G1083" i="16"/>
  <c r="I665" i="16"/>
  <c r="J665" i="16"/>
  <c r="D288" i="16"/>
  <c r="E348" i="16"/>
  <c r="J348" i="16"/>
  <c r="I370" i="16"/>
  <c r="E1090" i="16"/>
  <c r="J663" i="16"/>
  <c r="H663" i="16"/>
  <c r="G663" i="16"/>
  <c r="G722" i="16"/>
  <c r="J1098" i="16"/>
  <c r="E328" i="16"/>
  <c r="D1050" i="16"/>
  <c r="E1050" i="16"/>
  <c r="D572" i="16"/>
  <c r="I1140" i="16"/>
  <c r="D1116" i="16"/>
  <c r="H1116" i="16"/>
  <c r="E1116" i="16"/>
  <c r="D523" i="16"/>
  <c r="G5" i="10"/>
  <c r="H5" i="10" s="1"/>
  <c r="F6" i="10"/>
  <c r="H6" i="10" s="1"/>
  <c r="F61" i="10"/>
  <c r="C2" i="10" s="1"/>
  <c r="D1026" i="16"/>
  <c r="J1026" i="16"/>
  <c r="S1168" i="16"/>
  <c r="S1164" i="16"/>
  <c r="I1164" i="16" s="1"/>
  <c r="S1160" i="16"/>
  <c r="E1160" i="16" s="1"/>
  <c r="S1104" i="16"/>
  <c r="S1096" i="16"/>
  <c r="D1096" i="16" s="1"/>
  <c r="S1089" i="16"/>
  <c r="H1089" i="16" s="1"/>
  <c r="S1003" i="16"/>
  <c r="D1003" i="16" s="1"/>
  <c r="S992" i="16"/>
  <c r="S988" i="16"/>
  <c r="G988" i="16" s="1"/>
  <c r="S970" i="16"/>
  <c r="S965" i="16"/>
  <c r="J965" i="16" s="1"/>
  <c r="H961" i="16"/>
  <c r="D961" i="16"/>
  <c r="F961" i="16"/>
  <c r="S954" i="16"/>
  <c r="J954" i="16" s="1"/>
  <c r="S852" i="16"/>
  <c r="F852" i="16" s="1"/>
  <c r="Y852" i="16"/>
  <c r="S848" i="16"/>
  <c r="Y848" i="16"/>
  <c r="S840" i="16"/>
  <c r="I840" i="16" s="1"/>
  <c r="Y840" i="16"/>
  <c r="E633" i="16"/>
  <c r="D633" i="16"/>
  <c r="H633" i="16"/>
  <c r="J633" i="16"/>
  <c r="I633" i="16"/>
  <c r="S450" i="16"/>
  <c r="E450" i="16" s="1"/>
  <c r="Y428" i="16"/>
  <c r="S428" i="16"/>
  <c r="E428" i="16" s="1"/>
  <c r="Y424" i="16"/>
  <c r="S424" i="16"/>
  <c r="H424" i="16" s="1"/>
  <c r="S420" i="16"/>
  <c r="Y420" i="16"/>
  <c r="S416" i="16"/>
  <c r="Y416" i="16"/>
  <c r="S283" i="16"/>
  <c r="F283" i="16" s="1"/>
  <c r="Y283" i="16"/>
  <c r="S279" i="16"/>
  <c r="I279" i="16" s="1"/>
  <c r="S275" i="16"/>
  <c r="J275" i="16" s="1"/>
  <c r="S271" i="16"/>
  <c r="D271" i="16" s="1"/>
  <c r="H348" i="16"/>
  <c r="D289" i="16"/>
  <c r="G348" i="16"/>
  <c r="E343" i="16"/>
  <c r="G633" i="16"/>
  <c r="I961" i="16"/>
  <c r="Y289" i="16"/>
  <c r="S1177" i="16"/>
  <c r="Y1177" i="16"/>
  <c r="S945" i="16"/>
  <c r="I945" i="16" s="1"/>
  <c r="Y882" i="16"/>
  <c r="S834" i="16"/>
  <c r="G834" i="16" s="1"/>
  <c r="Y834" i="16"/>
  <c r="S818" i="16"/>
  <c r="E818" i="16" s="1"/>
  <c r="S800" i="16"/>
  <c r="S792" i="16"/>
  <c r="G792" i="16" s="1"/>
  <c r="Y784" i="16"/>
  <c r="S784" i="16"/>
  <c r="S730" i="16"/>
  <c r="D730" i="16" s="1"/>
  <c r="S711" i="16"/>
  <c r="S707" i="16"/>
  <c r="S703" i="16"/>
  <c r="S699" i="16"/>
  <c r="D699" i="16" s="1"/>
  <c r="Y696" i="16"/>
  <c r="S696" i="16"/>
  <c r="D696" i="16" s="1"/>
  <c r="Y692" i="16"/>
  <c r="S692" i="16"/>
  <c r="S673" i="16"/>
  <c r="S666" i="16"/>
  <c r="I666" i="16" s="1"/>
  <c r="Y650" i="16"/>
  <c r="S650" i="16"/>
  <c r="D650" i="16" s="1"/>
  <c r="Y642" i="16"/>
  <c r="S642" i="16"/>
  <c r="I642" i="16" s="1"/>
  <c r="S635" i="16"/>
  <c r="G635" i="16" s="1"/>
  <c r="S452" i="16"/>
  <c r="I452" i="16" s="1"/>
  <c r="E410" i="16"/>
  <c r="F410" i="16"/>
  <c r="H410" i="16"/>
  <c r="I410" i="16"/>
  <c r="J410" i="16"/>
  <c r="S384" i="16"/>
  <c r="H384" i="16" s="1"/>
  <c r="Y384" i="16"/>
  <c r="S377" i="16"/>
  <c r="G377" i="16" s="1"/>
  <c r="S315" i="16"/>
  <c r="J628" i="16"/>
  <c r="E1026" i="16"/>
  <c r="S297" i="16"/>
  <c r="G297" i="16" s="1"/>
  <c r="F633" i="16"/>
  <c r="S624" i="16"/>
  <c r="E624" i="16" s="1"/>
  <c r="I760" i="16"/>
  <c r="Y628" i="16"/>
  <c r="S658" i="16"/>
  <c r="I658" i="16" s="1"/>
  <c r="Y1106" i="16"/>
  <c r="Y970" i="16"/>
  <c r="Y945" i="16"/>
  <c r="Y681" i="16"/>
  <c r="Y673" i="16"/>
  <c r="Y633" i="16"/>
  <c r="Y381" i="16"/>
  <c r="Y377" i="16"/>
  <c r="Y722" i="16"/>
  <c r="Y602" i="16"/>
  <c r="H932" i="16"/>
  <c r="J392" i="16"/>
  <c r="I794" i="16"/>
  <c r="D794" i="16"/>
  <c r="E794" i="16"/>
  <c r="F344" i="16"/>
  <c r="E344" i="16"/>
  <c r="J344" i="16"/>
  <c r="D716" i="16"/>
  <c r="F716" i="16"/>
  <c r="Y426" i="16"/>
  <c r="S426" i="16"/>
  <c r="J426" i="16" s="1"/>
  <c r="S418" i="16"/>
  <c r="J418" i="16" s="1"/>
  <c r="Y418" i="16"/>
  <c r="G344" i="16"/>
  <c r="Y340" i="16"/>
  <c r="S336" i="16"/>
  <c r="H336" i="16" s="1"/>
  <c r="S332" i="16"/>
  <c r="G332" i="16" s="1"/>
  <c r="Y332" i="16"/>
  <c r="H344" i="16"/>
  <c r="J964" i="16"/>
  <c r="D609" i="16"/>
  <c r="H609" i="16"/>
  <c r="G609" i="16"/>
  <c r="E609" i="16"/>
  <c r="H484" i="16"/>
  <c r="F484" i="16"/>
  <c r="I503" i="16"/>
  <c r="G503" i="16"/>
  <c r="D887" i="16"/>
  <c r="F887" i="16"/>
  <c r="Y1287" i="16"/>
  <c r="H1250" i="16"/>
  <c r="E1250" i="16"/>
  <c r="S1243" i="16"/>
  <c r="F1243" i="16" s="1"/>
  <c r="Y1243" i="16"/>
  <c r="S1184" i="16"/>
  <c r="H1184" i="16" s="1"/>
  <c r="F984" i="16"/>
  <c r="F1067" i="16"/>
  <c r="E831" i="16"/>
  <c r="H831" i="16"/>
  <c r="G982" i="16"/>
  <c r="I714" i="16"/>
  <c r="F744" i="16"/>
  <c r="E744" i="16"/>
  <c r="H744" i="16"/>
  <c r="D471" i="16"/>
  <c r="E471" i="16"/>
  <c r="J471" i="16"/>
  <c r="G471" i="16"/>
  <c r="H471" i="16"/>
  <c r="F266" i="16"/>
  <c r="I266" i="16"/>
  <c r="I890" i="16"/>
  <c r="D1036" i="16"/>
  <c r="D468" i="16"/>
  <c r="J674" i="16"/>
  <c r="E674" i="16"/>
  <c r="F1212" i="16"/>
  <c r="E1212" i="16"/>
  <c r="H987" i="16"/>
  <c r="D1068" i="16"/>
  <c r="F1068" i="16"/>
  <c r="I1068" i="16"/>
  <c r="H595" i="16"/>
  <c r="F595" i="16"/>
  <c r="D1275" i="16"/>
  <c r="I883" i="16"/>
  <c r="F891" i="16"/>
  <c r="E863" i="16"/>
  <c r="S1272" i="16"/>
  <c r="H1272" i="16" s="1"/>
  <c r="G1265" i="16"/>
  <c r="S1219" i="16"/>
  <c r="E1219" i="16" s="1"/>
  <c r="F688" i="16"/>
  <c r="F681" i="16"/>
  <c r="S610" i="16"/>
  <c r="D610" i="16" s="1"/>
  <c r="Y610" i="16"/>
  <c r="J587" i="16"/>
  <c r="I587" i="16"/>
  <c r="G587" i="16"/>
  <c r="H587" i="16"/>
  <c r="S559" i="16"/>
  <c r="J559" i="16" s="1"/>
  <c r="S543" i="16"/>
  <c r="S466" i="16"/>
  <c r="S458" i="16"/>
  <c r="Y440" i="16"/>
  <c r="Y436" i="16"/>
  <c r="S436" i="16"/>
  <c r="E436" i="16" s="1"/>
  <c r="S432" i="16"/>
  <c r="F432" i="16" s="1"/>
  <c r="Y432" i="16"/>
  <c r="D402" i="16"/>
  <c r="J402" i="16"/>
  <c r="I402" i="16"/>
  <c r="H402" i="16"/>
  <c r="E402" i="16"/>
  <c r="G402" i="16"/>
  <c r="S388" i="16"/>
  <c r="J388" i="16" s="1"/>
  <c r="G508" i="16"/>
  <c r="F508" i="16"/>
  <c r="D266" i="16"/>
  <c r="H468" i="16"/>
  <c r="E681" i="16"/>
  <c r="F987" i="16"/>
  <c r="H1212" i="16"/>
  <c r="H1068" i="16"/>
  <c r="H674" i="16"/>
  <c r="D987" i="16"/>
  <c r="D587" i="16"/>
  <c r="F402" i="16"/>
  <c r="H793" i="16"/>
  <c r="E643" i="16"/>
  <c r="F352" i="16"/>
  <c r="D352" i="16"/>
  <c r="S1152" i="16"/>
  <c r="F1136" i="16"/>
  <c r="S1132" i="16"/>
  <c r="G1132" i="16" s="1"/>
  <c r="S1074" i="16"/>
  <c r="G1074" i="16" s="1"/>
  <c r="S919" i="16"/>
  <c r="S904" i="16"/>
  <c r="H904" i="16" s="1"/>
  <c r="Y904" i="16"/>
  <c r="S780" i="16"/>
  <c r="S776" i="16"/>
  <c r="Y772" i="16"/>
  <c r="S768" i="16"/>
  <c r="E768" i="16" s="1"/>
  <c r="Y752" i="16"/>
  <c r="S752" i="16"/>
  <c r="E752" i="16" s="1"/>
  <c r="J691" i="16"/>
  <c r="S649" i="16"/>
  <c r="D649" i="16" s="1"/>
  <c r="S641" i="16"/>
  <c r="D641" i="16" s="1"/>
  <c r="Y632" i="16"/>
  <c r="S617" i="16"/>
  <c r="Y578" i="16"/>
  <c r="G1004" i="16"/>
  <c r="E1080" i="16"/>
  <c r="G681" i="16"/>
  <c r="H681" i="16"/>
  <c r="G1036" i="16"/>
  <c r="F674" i="16"/>
  <c r="E907" i="16"/>
  <c r="I394" i="16"/>
  <c r="F280" i="16"/>
  <c r="I1212" i="16"/>
  <c r="H394" i="16"/>
  <c r="H583" i="16"/>
  <c r="G352" i="16"/>
  <c r="J1275" i="16"/>
  <c r="I863" i="16"/>
  <c r="E587" i="16"/>
  <c r="F587" i="16"/>
  <c r="J1028" i="16"/>
  <c r="S1268" i="16"/>
  <c r="H1268" i="16" s="1"/>
  <c r="D1155" i="16"/>
  <c r="H1155" i="16"/>
  <c r="S440" i="16"/>
  <c r="F440" i="16" s="1"/>
  <c r="G603" i="16"/>
  <c r="H1252" i="16"/>
  <c r="F1252" i="16"/>
  <c r="I839" i="16"/>
  <c r="E839" i="16"/>
  <c r="J839" i="16"/>
  <c r="S695" i="16"/>
  <c r="D695" i="16" s="1"/>
  <c r="D463" i="16"/>
  <c r="H915" i="16"/>
  <c r="E1180" i="16"/>
  <c r="D1285" i="16"/>
  <c r="S1240" i="16"/>
  <c r="S895" i="16"/>
  <c r="I895" i="16" s="1"/>
  <c r="S823" i="16"/>
  <c r="I823" i="16" s="1"/>
  <c r="S492" i="16"/>
  <c r="I492" i="16" s="1"/>
  <c r="Y492" i="16"/>
  <c r="F954" i="16"/>
  <c r="G696" i="16"/>
  <c r="H738" i="16"/>
  <c r="I37" i="10"/>
  <c r="J56" i="10"/>
  <c r="I54" i="10"/>
  <c r="J5" i="10"/>
  <c r="C3" i="10"/>
  <c r="A31" i="2"/>
  <c r="I61" i="10"/>
  <c r="J4" i="16"/>
  <c r="I32" i="10"/>
  <c r="J15" i="10"/>
  <c r="A32" i="2"/>
  <c r="C23" i="3"/>
  <c r="C17" i="3"/>
  <c r="J4" i="10"/>
  <c r="J42" i="10"/>
  <c r="C27" i="3"/>
  <c r="A37" i="2"/>
  <c r="G4" i="14"/>
  <c r="B13" i="3"/>
  <c r="J64" i="10"/>
  <c r="A25" i="2"/>
  <c r="J57" i="10"/>
  <c r="K4" i="16"/>
  <c r="I30" i="10"/>
  <c r="B18" i="4"/>
  <c r="A10" i="10" s="1"/>
  <c r="J12" i="10"/>
  <c r="J38" i="10"/>
  <c r="A50" i="2"/>
  <c r="I28" i="10"/>
  <c r="I51" i="10"/>
  <c r="B30" i="3"/>
  <c r="B21" i="4"/>
  <c r="A12" i="10" s="1"/>
  <c r="A14" i="2"/>
  <c r="B15" i="4"/>
  <c r="A7" i="10" s="1"/>
  <c r="C5" i="11"/>
  <c r="B39" i="4"/>
  <c r="B63" i="4" s="1"/>
  <c r="A46" i="10" s="1"/>
  <c r="B3" i="10"/>
  <c r="B25" i="4"/>
  <c r="A14" i="10" s="1"/>
  <c r="A71" i="2"/>
  <c r="I48" i="10"/>
  <c r="I57" i="10"/>
  <c r="H4" i="16"/>
  <c r="A21" i="2"/>
  <c r="A67" i="2"/>
  <c r="A59" i="2"/>
  <c r="J33" i="10"/>
  <c r="A62" i="2"/>
  <c r="C3" i="3"/>
  <c r="A66" i="2"/>
  <c r="H4" i="14"/>
  <c r="A53" i="2"/>
  <c r="D25" i="4"/>
  <c r="D37" i="4" s="1"/>
  <c r="J37" i="10"/>
  <c r="G25" i="4"/>
  <c r="G49" i="4" s="1"/>
  <c r="M4" i="16"/>
  <c r="C9" i="3"/>
  <c r="A26" i="2"/>
  <c r="I4" i="14"/>
  <c r="B29" i="3"/>
  <c r="C10" i="3"/>
  <c r="I55" i="10"/>
  <c r="B2" i="16"/>
  <c r="A56" i="2"/>
  <c r="A4" i="2"/>
  <c r="C8" i="3"/>
  <c r="B41" i="4"/>
  <c r="A28" i="10" s="1"/>
  <c r="C21" i="3"/>
  <c r="B67" i="4"/>
  <c r="C29" i="3"/>
  <c r="I68" i="4"/>
  <c r="F4" i="16"/>
  <c r="J46" i="10"/>
  <c r="C6" i="3"/>
  <c r="B16" i="4"/>
  <c r="A8" i="10" s="1"/>
  <c r="C13" i="3"/>
  <c r="C11" i="3"/>
  <c r="I11" i="10"/>
  <c r="I4" i="10"/>
  <c r="J9" i="10"/>
  <c r="G4" i="16"/>
  <c r="D6" i="10"/>
  <c r="E557" i="16"/>
  <c r="D929" i="16"/>
  <c r="E996" i="16"/>
  <c r="F264" i="16"/>
  <c r="G1212" i="16"/>
  <c r="J1212" i="16"/>
  <c r="E1209" i="16"/>
  <c r="D1209" i="16"/>
  <c r="G1209" i="16"/>
  <c r="H1264" i="16"/>
  <c r="D1264" i="16"/>
  <c r="J1264" i="16"/>
  <c r="F1264" i="16"/>
  <c r="I401" i="16"/>
  <c r="J401" i="16"/>
  <c r="I973" i="16"/>
  <c r="I801" i="16"/>
  <c r="J490" i="16"/>
  <c r="D490" i="16"/>
  <c r="G631" i="16"/>
  <c r="J631" i="16"/>
  <c r="I631" i="16"/>
  <c r="G1027" i="16"/>
  <c r="J1027" i="16"/>
  <c r="D4" i="10"/>
  <c r="D11" i="10"/>
  <c r="D23" i="10"/>
  <c r="Y577" i="16"/>
  <c r="S753" i="16"/>
  <c r="A1" i="14"/>
  <c r="I62" i="10"/>
  <c r="G532" i="16"/>
  <c r="F532" i="16"/>
  <c r="H532" i="16"/>
  <c r="I532" i="16"/>
  <c r="J532" i="16"/>
  <c r="E532" i="16"/>
  <c r="D532" i="16"/>
  <c r="J1184" i="16"/>
  <c r="E1184" i="16"/>
  <c r="F1287" i="16"/>
  <c r="J1168" i="16"/>
  <c r="I1168" i="16"/>
  <c r="F1090" i="16"/>
  <c r="H1090" i="16"/>
  <c r="I1090" i="16"/>
  <c r="D1090" i="16"/>
  <c r="J1001" i="16"/>
  <c r="E1001" i="16"/>
  <c r="F1001" i="16"/>
  <c r="G1001" i="16"/>
  <c r="I1001" i="16"/>
  <c r="F1051" i="16"/>
  <c r="D392" i="16"/>
  <c r="G392" i="16"/>
  <c r="H619" i="16"/>
  <c r="J619" i="16"/>
  <c r="E619" i="16"/>
  <c r="D619" i="16"/>
  <c r="E1125" i="16"/>
  <c r="J1125" i="16"/>
  <c r="H618" i="16"/>
  <c r="E618" i="16"/>
  <c r="F314" i="16"/>
  <c r="G1090" i="16"/>
  <c r="I1060" i="16"/>
  <c r="F619" i="16"/>
  <c r="D449" i="16"/>
  <c r="E1139" i="16"/>
  <c r="H585" i="16"/>
  <c r="I585" i="16"/>
  <c r="F1120" i="16"/>
  <c r="J514" i="16"/>
  <c r="E705" i="16"/>
  <c r="H705" i="16"/>
  <c r="I705" i="16"/>
  <c r="E736" i="16"/>
  <c r="E1252" i="16"/>
  <c r="D1252" i="16"/>
  <c r="J1252" i="16"/>
  <c r="J644" i="16"/>
  <c r="D644" i="16"/>
  <c r="G1121" i="16"/>
  <c r="I1121" i="16"/>
  <c r="D1121" i="16"/>
  <c r="F1121" i="16"/>
  <c r="F973" i="16"/>
  <c r="I283" i="16"/>
  <c r="G535" i="16"/>
  <c r="H535" i="16"/>
  <c r="F535" i="16"/>
  <c r="J535" i="16"/>
  <c r="S524" i="16"/>
  <c r="I524" i="16" s="1"/>
  <c r="Y524" i="16"/>
  <c r="S516" i="16"/>
  <c r="F516" i="16" s="1"/>
  <c r="Y516" i="16"/>
  <c r="E508" i="16"/>
  <c r="I508" i="16"/>
  <c r="D508" i="16"/>
  <c r="S500" i="16"/>
  <c r="Y500" i="16"/>
  <c r="S496" i="16"/>
  <c r="Y496" i="16"/>
  <c r="Y489" i="16"/>
  <c r="S489" i="16"/>
  <c r="D489" i="16" s="1"/>
  <c r="S451" i="16"/>
  <c r="D451" i="16" s="1"/>
  <c r="Y451" i="16"/>
  <c r="S395" i="16"/>
  <c r="H395" i="16" s="1"/>
  <c r="Y395" i="16"/>
  <c r="G283" i="16"/>
  <c r="F528" i="16"/>
  <c r="D306" i="16"/>
  <c r="J1090" i="16"/>
  <c r="Y361" i="16"/>
  <c r="S369" i="16"/>
  <c r="H369" i="16" s="1"/>
  <c r="H508" i="16"/>
  <c r="I619" i="16"/>
  <c r="D1073" i="16"/>
  <c r="G1073" i="16"/>
  <c r="S520" i="16"/>
  <c r="H520" i="16" s="1"/>
  <c r="E828" i="16"/>
  <c r="G828" i="16"/>
  <c r="F372" i="16"/>
  <c r="D372" i="16"/>
  <c r="D984" i="16"/>
  <c r="J984" i="16"/>
  <c r="F912" i="16"/>
  <c r="D912" i="16"/>
  <c r="J1088" i="16"/>
  <c r="I680" i="16"/>
  <c r="E680" i="16"/>
  <c r="G704" i="16"/>
  <c r="I704" i="16"/>
  <c r="S1034" i="16"/>
  <c r="J1034" i="16" s="1"/>
  <c r="J626" i="16"/>
  <c r="Y1221" i="16"/>
  <c r="S1221" i="16"/>
  <c r="S1217" i="16"/>
  <c r="I1217" i="16" s="1"/>
  <c r="Y1217" i="16"/>
  <c r="E1213" i="16"/>
  <c r="J1213" i="16"/>
  <c r="Y1201" i="16"/>
  <c r="S1201" i="16"/>
  <c r="G1201" i="16" s="1"/>
  <c r="S1193" i="16"/>
  <c r="Y1193" i="16"/>
  <c r="S1185" i="16"/>
  <c r="G1185" i="16" s="1"/>
  <c r="Y1185" i="16"/>
  <c r="Y928" i="16"/>
  <c r="S928" i="16"/>
  <c r="Y924" i="16"/>
  <c r="S924" i="16"/>
  <c r="S916" i="16"/>
  <c r="D916" i="16" s="1"/>
  <c r="S715" i="16"/>
  <c r="D715" i="16" s="1"/>
  <c r="S682" i="16"/>
  <c r="Y682" i="16"/>
  <c r="S639" i="16"/>
  <c r="H639" i="16" s="1"/>
  <c r="G619" i="16"/>
  <c r="S596" i="16"/>
  <c r="Y584" i="16"/>
  <c r="S584" i="16"/>
  <c r="D584" i="16" s="1"/>
  <c r="H577" i="16"/>
  <c r="E577" i="16"/>
  <c r="Y596" i="16"/>
  <c r="Y588" i="16"/>
  <c r="Y532" i="16"/>
  <c r="Y528" i="16"/>
  <c r="Y504" i="16"/>
  <c r="Y314" i="16"/>
  <c r="Y306" i="16"/>
  <c r="Y298" i="16"/>
  <c r="S937" i="16"/>
  <c r="G937" i="16" s="1"/>
  <c r="Y937" i="16"/>
  <c r="S748" i="16"/>
  <c r="E748" i="16" s="1"/>
  <c r="Y748" i="16"/>
  <c r="S640" i="16"/>
  <c r="Y640" i="16"/>
  <c r="S362" i="16"/>
  <c r="F362" i="16" s="1"/>
  <c r="Y362" i="16"/>
  <c r="Y1237" i="16"/>
  <c r="Y1233" i="16"/>
  <c r="Y1213" i="16"/>
  <c r="Y1209" i="16"/>
  <c r="Y1169" i="16"/>
  <c r="Y1165" i="16"/>
  <c r="Y716" i="16"/>
  <c r="Y697" i="16"/>
  <c r="Y693" i="16"/>
  <c r="Y533" i="16"/>
  <c r="Y521" i="16"/>
  <c r="Y513" i="16"/>
  <c r="Y497" i="16"/>
  <c r="Y482" i="16"/>
  <c r="Y474" i="16"/>
  <c r="Y466" i="16"/>
  <c r="Y458" i="16"/>
  <c r="Y966" i="16"/>
  <c r="Y1098" i="16"/>
  <c r="Y1090" i="16"/>
  <c r="Y1058" i="16"/>
  <c r="Y1054" i="16"/>
  <c r="Y1050" i="16"/>
  <c r="Y1027" i="16"/>
  <c r="Y995" i="16"/>
  <c r="Y987" i="16"/>
  <c r="Y1196" i="16"/>
  <c r="Y1148" i="16"/>
  <c r="Y1097" i="16"/>
  <c r="Y1093" i="16"/>
  <c r="Y1085" i="16"/>
  <c r="Y1081" i="16"/>
  <c r="Y1069" i="16"/>
  <c r="Y1061" i="16"/>
  <c r="Y1049" i="16"/>
  <c r="Y1018" i="16"/>
  <c r="Y732" i="16"/>
  <c r="Y666" i="16"/>
  <c r="Y658" i="16"/>
  <c r="Y562" i="16"/>
  <c r="Y546" i="16"/>
  <c r="Y490" i="16"/>
  <c r="Y412" i="16"/>
  <c r="Y408" i="16"/>
  <c r="Y404" i="16"/>
  <c r="Y400" i="16"/>
  <c r="Y392" i="16"/>
  <c r="Y388" i="16"/>
  <c r="Y372" i="16"/>
  <c r="Y368" i="16"/>
  <c r="Y364" i="16"/>
  <c r="Y360" i="16"/>
  <c r="Y356" i="16"/>
  <c r="Y285" i="16"/>
  <c r="Y281" i="16"/>
  <c r="Y273" i="16"/>
  <c r="F424" i="16"/>
  <c r="J424" i="16"/>
  <c r="I389" i="16"/>
  <c r="G668" i="16"/>
  <c r="E668" i="16"/>
  <c r="F668" i="16"/>
  <c r="H668" i="16"/>
  <c r="J668" i="16"/>
  <c r="J1004" i="16"/>
  <c r="F1004" i="16"/>
  <c r="I1004" i="16"/>
  <c r="E1004" i="16"/>
  <c r="F724" i="16"/>
  <c r="E890" i="16"/>
  <c r="J890" i="16"/>
  <c r="D890" i="16"/>
  <c r="I1276" i="16"/>
  <c r="I1161" i="16"/>
  <c r="G1161" i="16"/>
  <c r="D1245" i="16"/>
  <c r="I1245" i="16"/>
  <c r="F322" i="16"/>
  <c r="E322" i="16"/>
  <c r="I322" i="16"/>
  <c r="J719" i="16"/>
  <c r="I719" i="16"/>
  <c r="G719" i="16"/>
  <c r="J1273" i="16"/>
  <c r="H1273" i="16"/>
  <c r="E1273" i="16"/>
  <c r="F1265" i="16"/>
  <c r="H1265" i="16"/>
  <c r="I1265" i="16"/>
  <c r="I1229" i="16"/>
  <c r="J1229" i="16"/>
  <c r="H1229" i="16"/>
  <c r="J1067" i="16"/>
  <c r="D1067" i="16"/>
  <c r="E1067" i="16"/>
  <c r="H1067" i="16"/>
  <c r="G1019" i="16"/>
  <c r="H1019" i="16"/>
  <c r="F905" i="16"/>
  <c r="G905" i="16"/>
  <c r="D905" i="16"/>
  <c r="J905" i="16"/>
  <c r="F881" i="16"/>
  <c r="J881" i="16"/>
  <c r="I881" i="16"/>
  <c r="E760" i="16"/>
  <c r="J760" i="16"/>
  <c r="H760" i="16"/>
  <c r="G760" i="16"/>
  <c r="I676" i="16"/>
  <c r="H676" i="16"/>
  <c r="J676" i="16"/>
  <c r="D620" i="16"/>
  <c r="J620" i="16"/>
  <c r="H620" i="16"/>
  <c r="G490" i="16"/>
  <c r="E490" i="16"/>
  <c r="F490" i="16"/>
  <c r="F343" i="16"/>
  <c r="H343" i="16"/>
  <c r="J343" i="16"/>
  <c r="G339" i="16"/>
  <c r="J339" i="16"/>
  <c r="I288" i="16"/>
  <c r="G288" i="16"/>
  <c r="E288" i="16"/>
  <c r="I490" i="16"/>
  <c r="F1245" i="16"/>
  <c r="E881" i="16"/>
  <c r="G1229" i="16"/>
  <c r="G280" i="16"/>
  <c r="J1043" i="16"/>
  <c r="H836" i="16"/>
  <c r="E370" i="16"/>
  <c r="I1273" i="16"/>
  <c r="D370" i="16"/>
  <c r="G881" i="16"/>
  <c r="H881" i="16"/>
  <c r="D1229" i="16"/>
  <c r="E1245" i="16"/>
  <c r="F863" i="16"/>
  <c r="I1067" i="16"/>
  <c r="F836" i="16"/>
  <c r="D1265" i="16"/>
  <c r="F1273" i="16"/>
  <c r="J370" i="16"/>
  <c r="H288" i="16"/>
  <c r="G1067" i="16"/>
  <c r="E1105" i="16"/>
  <c r="I343" i="16"/>
  <c r="J322" i="16"/>
  <c r="I905" i="16"/>
  <c r="H1093" i="16"/>
  <c r="I1093" i="16"/>
  <c r="J1073" i="16"/>
  <c r="H1073" i="16"/>
  <c r="J684" i="16"/>
  <c r="D684" i="16"/>
  <c r="H1194" i="16"/>
  <c r="G1194" i="16"/>
  <c r="G732" i="16"/>
  <c r="I732" i="16"/>
  <c r="J842" i="16"/>
  <c r="D842" i="16"/>
  <c r="F733" i="16"/>
  <c r="H536" i="16"/>
  <c r="D536" i="16"/>
  <c r="E745" i="16"/>
  <c r="H745" i="16"/>
  <c r="E393" i="16"/>
  <c r="F393" i="16"/>
  <c r="F825" i="16"/>
  <c r="F1204" i="16"/>
  <c r="G1204" i="16"/>
  <c r="D1204" i="16"/>
  <c r="J1204" i="16"/>
  <c r="I601" i="16"/>
  <c r="D601" i="16"/>
  <c r="J1209" i="16"/>
  <c r="H1209" i="16"/>
  <c r="I1209" i="16"/>
  <c r="I1211" i="16"/>
  <c r="H1057" i="16"/>
  <c r="E1057" i="16"/>
  <c r="D1041" i="16"/>
  <c r="I1041" i="16"/>
  <c r="J1041" i="16"/>
  <c r="H1041" i="16"/>
  <c r="F1041" i="16"/>
  <c r="D410" i="16"/>
  <c r="G410" i="16"/>
  <c r="D298" i="16"/>
  <c r="J298" i="16"/>
  <c r="F298" i="16"/>
  <c r="H298" i="16"/>
  <c r="E298" i="16"/>
  <c r="G298" i="16"/>
  <c r="I456" i="16"/>
  <c r="H456" i="16"/>
  <c r="E456" i="16"/>
  <c r="J312" i="16"/>
  <c r="D312" i="16"/>
  <c r="G1213" i="16"/>
  <c r="I1213" i="16"/>
  <c r="E929" i="16"/>
  <c r="I929" i="16"/>
  <c r="D599" i="16"/>
  <c r="J599" i="16"/>
  <c r="I599" i="16"/>
  <c r="D588" i="16"/>
  <c r="G588" i="16"/>
  <c r="D580" i="16"/>
  <c r="E580" i="16"/>
  <c r="F580" i="16"/>
  <c r="I289" i="16"/>
  <c r="E289" i="16"/>
  <c r="I379" i="16"/>
  <c r="D379" i="16"/>
  <c r="H962" i="16"/>
  <c r="J962" i="16"/>
  <c r="I962" i="16"/>
  <c r="E962" i="16"/>
  <c r="G417" i="16"/>
  <c r="I1248" i="16"/>
  <c r="H1248" i="16"/>
  <c r="J1248" i="16"/>
  <c r="G977" i="16"/>
  <c r="D977" i="16"/>
  <c r="E977" i="16"/>
  <c r="I977" i="16"/>
  <c r="J977" i="16"/>
  <c r="H977" i="16"/>
  <c r="F1203" i="16"/>
  <c r="J1203" i="16"/>
  <c r="D1203" i="16"/>
  <c r="J801" i="16"/>
  <c r="I617" i="16"/>
  <c r="D801" i="16"/>
  <c r="F962" i="16"/>
  <c r="E281" i="16"/>
  <c r="F603" i="16"/>
  <c r="E603" i="16"/>
  <c r="J603" i="16"/>
  <c r="H851" i="16"/>
  <c r="J851" i="16"/>
  <c r="I851" i="16"/>
  <c r="D851" i="16"/>
  <c r="I828" i="16"/>
  <c r="H828" i="16"/>
  <c r="J927" i="16"/>
  <c r="F927" i="16"/>
  <c r="H512" i="16"/>
  <c r="J512" i="16"/>
  <c r="D512" i="16"/>
  <c r="I1180" i="16"/>
  <c r="H1180" i="16"/>
  <c r="J1082" i="16"/>
  <c r="F1082" i="16"/>
  <c r="E979" i="16"/>
  <c r="F979" i="16"/>
  <c r="G962" i="16"/>
  <c r="S959" i="16"/>
  <c r="F959" i="16" s="1"/>
  <c r="S951" i="16"/>
  <c r="J951" i="16" s="1"/>
  <c r="S947" i="16"/>
  <c r="H947" i="16" s="1"/>
  <c r="S943" i="16"/>
  <c r="S876" i="16"/>
  <c r="J876" i="16" s="1"/>
  <c r="Y876" i="16"/>
  <c r="S865" i="16"/>
  <c r="E865" i="16" s="1"/>
  <c r="Y865" i="16"/>
  <c r="S849" i="16"/>
  <c r="G849" i="16" s="1"/>
  <c r="Y826" i="16"/>
  <c r="S826" i="16"/>
  <c r="J826" i="16" s="1"/>
  <c r="S815" i="16"/>
  <c r="D815" i="16" s="1"/>
  <c r="I811" i="16"/>
  <c r="E811" i="16"/>
  <c r="S807" i="16"/>
  <c r="G807" i="16" s="1"/>
  <c r="S803" i="16"/>
  <c r="G803" i="16" s="1"/>
  <c r="S799" i="16"/>
  <c r="J799" i="16" s="1"/>
  <c r="S787" i="16"/>
  <c r="G787" i="16" s="1"/>
  <c r="S783" i="16"/>
  <c r="S767" i="16"/>
  <c r="S763" i="16"/>
  <c r="F763" i="16" s="1"/>
  <c r="S759" i="16"/>
  <c r="G759" i="16" s="1"/>
  <c r="S751" i="16"/>
  <c r="S743" i="16"/>
  <c r="S739" i="16"/>
  <c r="F739" i="16" s="1"/>
  <c r="Y481" i="16"/>
  <c r="S481" i="16"/>
  <c r="I481" i="16" s="1"/>
  <c r="F469" i="16"/>
  <c r="E469" i="16"/>
  <c r="J465" i="16"/>
  <c r="E465" i="16"/>
  <c r="I465" i="16"/>
  <c r="Y443" i="16"/>
  <c r="S443" i="16"/>
  <c r="D443" i="16" s="1"/>
  <c r="S427" i="16"/>
  <c r="D427" i="16" s="1"/>
  <c r="S423" i="16"/>
  <c r="S415" i="16"/>
  <c r="S411" i="16"/>
  <c r="G411" i="16" s="1"/>
  <c r="Y411" i="16"/>
  <c r="S407" i="16"/>
  <c r="H407" i="16" s="1"/>
  <c r="H403" i="16"/>
  <c r="F403" i="16"/>
  <c r="D403" i="16"/>
  <c r="I403" i="16"/>
  <c r="S391" i="16"/>
  <c r="G391" i="16" s="1"/>
  <c r="Y387" i="16"/>
  <c r="S387" i="16"/>
  <c r="F387" i="16" s="1"/>
  <c r="S380" i="16"/>
  <c r="I380" i="16" s="1"/>
  <c r="J376" i="16"/>
  <c r="D376" i="16"/>
  <c r="Y346" i="16"/>
  <c r="S335" i="16"/>
  <c r="G335" i="16" s="1"/>
  <c r="S327" i="16"/>
  <c r="D327" i="16" s="1"/>
  <c r="Y323" i="16"/>
  <c r="S323" i="16"/>
  <c r="E319" i="16"/>
  <c r="H319" i="16"/>
  <c r="S307" i="16"/>
  <c r="F307" i="16" s="1"/>
  <c r="Y307" i="16"/>
  <c r="Y299" i="16"/>
  <c r="S299" i="16"/>
  <c r="I295" i="16"/>
  <c r="F295" i="16"/>
  <c r="S265" i="16"/>
  <c r="H265" i="16" s="1"/>
  <c r="Y265" i="16"/>
  <c r="H1282" i="16"/>
  <c r="E1282" i="16"/>
  <c r="I399" i="16"/>
  <c r="D765" i="16"/>
  <c r="F695" i="16"/>
  <c r="F281" i="16"/>
  <c r="H780" i="16"/>
  <c r="E780" i="16"/>
  <c r="E801" i="16"/>
  <c r="J361" i="16"/>
  <c r="D962" i="16"/>
  <c r="S791" i="16"/>
  <c r="G791" i="16" s="1"/>
  <c r="G906" i="16"/>
  <c r="J906" i="16"/>
  <c r="F906" i="16"/>
  <c r="E906" i="16"/>
  <c r="F1259" i="16"/>
  <c r="I1259" i="16"/>
  <c r="D1259" i="16"/>
  <c r="H1259" i="16"/>
  <c r="G1259" i="16"/>
  <c r="Y427" i="16"/>
  <c r="F404" i="16"/>
  <c r="I404" i="16"/>
  <c r="E404" i="16"/>
  <c r="E460" i="16"/>
  <c r="G460" i="16"/>
  <c r="F480" i="16"/>
  <c r="H480" i="16"/>
  <c r="G480" i="16"/>
  <c r="J480" i="16"/>
  <c r="E480" i="16"/>
  <c r="G1025" i="16"/>
  <c r="J1025" i="16"/>
  <c r="D1025" i="16"/>
  <c r="I1025" i="16"/>
  <c r="F977" i="16"/>
  <c r="I480" i="16"/>
  <c r="F319" i="16"/>
  <c r="H361" i="16"/>
  <c r="I361" i="16"/>
  <c r="J313" i="16"/>
  <c r="F1025" i="16"/>
  <c r="D828" i="16"/>
  <c r="Y331" i="16"/>
  <c r="J1259" i="16"/>
  <c r="I603" i="16"/>
  <c r="F431" i="16"/>
  <c r="G793" i="16"/>
  <c r="J793" i="16"/>
  <c r="D793" i="16"/>
  <c r="J378" i="16"/>
  <c r="D378" i="16"/>
  <c r="J595" i="16"/>
  <c r="I595" i="16"/>
  <c r="E595" i="16"/>
  <c r="G852" i="16"/>
  <c r="I793" i="16"/>
  <c r="G595" i="16"/>
  <c r="H283" i="16"/>
  <c r="D283" i="16"/>
  <c r="H935" i="16"/>
  <c r="F305" i="16"/>
  <c r="D305" i="16"/>
  <c r="I305" i="16"/>
  <c r="J708" i="16"/>
  <c r="D708" i="16"/>
  <c r="I708" i="16"/>
  <c r="D546" i="16"/>
  <c r="I546" i="16"/>
  <c r="G523" i="16"/>
  <c r="I728" i="16"/>
  <c r="E764" i="16"/>
  <c r="I764" i="16"/>
  <c r="J836" i="16"/>
  <c r="E836" i="16"/>
  <c r="J280" i="16"/>
  <c r="I280" i="16"/>
  <c r="D280" i="16"/>
  <c r="H625" i="16"/>
  <c r="E522" i="16"/>
  <c r="D522" i="16"/>
  <c r="I522" i="16"/>
  <c r="J1085" i="16"/>
  <c r="G1085" i="16"/>
  <c r="H1113" i="16"/>
  <c r="Y1082" i="16"/>
  <c r="Y380" i="16"/>
  <c r="Y376" i="16"/>
  <c r="Y269" i="16"/>
  <c r="J1211" i="16"/>
  <c r="D1211" i="16"/>
  <c r="F1211" i="16"/>
  <c r="Y1089" i="16"/>
  <c r="Y1065" i="16"/>
  <c r="S1065" i="16"/>
  <c r="I1053" i="16"/>
  <c r="E1053" i="16"/>
  <c r="S911" i="16"/>
  <c r="G911" i="16" s="1"/>
  <c r="S879" i="16"/>
  <c r="S511" i="16"/>
  <c r="I511" i="16" s="1"/>
  <c r="E495" i="16"/>
  <c r="J495" i="16"/>
  <c r="F495" i="16"/>
  <c r="D495" i="16"/>
  <c r="H495" i="16"/>
  <c r="S330" i="16"/>
  <c r="G330" i="16" s="1"/>
  <c r="S287" i="16"/>
  <c r="E287" i="16" s="1"/>
  <c r="S260" i="16"/>
  <c r="H260" i="16" s="1"/>
  <c r="E314" i="16"/>
  <c r="G314" i="16"/>
  <c r="J1155" i="16"/>
  <c r="F1155" i="16"/>
  <c r="H539" i="16"/>
  <c r="E539" i="16"/>
  <c r="I393" i="16"/>
  <c r="G1245" i="16"/>
  <c r="H1245" i="16"/>
  <c r="E479" i="16"/>
  <c r="H479" i="16"/>
  <c r="J412" i="16"/>
  <c r="F1275" i="16"/>
  <c r="E1275" i="16"/>
  <c r="H601" i="16"/>
  <c r="G1155" i="16"/>
  <c r="J1245" i="16"/>
  <c r="H1275" i="16"/>
  <c r="I716" i="16"/>
  <c r="E716" i="16"/>
  <c r="G716" i="16"/>
  <c r="E1098" i="16"/>
  <c r="D314" i="16"/>
  <c r="D889" i="16"/>
  <c r="I683" i="16"/>
  <c r="D539" i="16"/>
  <c r="G372" i="16"/>
  <c r="I479" i="16"/>
  <c r="G553" i="16"/>
  <c r="F553" i="16"/>
  <c r="G1093" i="16"/>
  <c r="F1093" i="16"/>
  <c r="J736" i="16"/>
  <c r="E825" i="16"/>
  <c r="I825" i="16"/>
  <c r="G825" i="16"/>
  <c r="G1021" i="16"/>
  <c r="H1021" i="16"/>
  <c r="Y1285" i="16"/>
  <c r="Y1227" i="16"/>
  <c r="Y982" i="16"/>
  <c r="Y485" i="16"/>
  <c r="S1284" i="16"/>
  <c r="J1284" i="16" s="1"/>
  <c r="Y1274" i="16"/>
  <c r="S1170" i="16"/>
  <c r="G1170" i="16" s="1"/>
  <c r="S1072" i="16"/>
  <c r="D1072" i="16" s="1"/>
  <c r="Y572" i="16"/>
  <c r="S549" i="16"/>
  <c r="S530" i="16"/>
  <c r="Y530" i="16"/>
  <c r="Y393" i="16"/>
  <c r="Y267" i="16"/>
  <c r="S263" i="16"/>
  <c r="D263" i="16" s="1"/>
  <c r="Y1033" i="16"/>
  <c r="Y1021" i="16"/>
  <c r="Y1017" i="16"/>
  <c r="Y755" i="16"/>
  <c r="Y345" i="16"/>
  <c r="Y264" i="16"/>
  <c r="Y1075" i="16"/>
  <c r="S1075" i="16"/>
  <c r="G1075" i="16" s="1"/>
  <c r="Y1194" i="16"/>
  <c r="Y1190" i="16"/>
  <c r="Y1186" i="16"/>
  <c r="Y1155" i="16"/>
  <c r="Y1147" i="16"/>
  <c r="Y979" i="16"/>
  <c r="Y971" i="16"/>
  <c r="Y962" i="16"/>
  <c r="Y868" i="16"/>
  <c r="Y841" i="16"/>
  <c r="Y739" i="16"/>
  <c r="Y669" i="16"/>
  <c r="Y665" i="16"/>
  <c r="Y657" i="16"/>
  <c r="Y649" i="16"/>
  <c r="Y629" i="16"/>
  <c r="Y429" i="16"/>
  <c r="Y425" i="16"/>
  <c r="Y417" i="16"/>
  <c r="Y338" i="16"/>
  <c r="Y284" i="16"/>
  <c r="Y276" i="16"/>
  <c r="Y960" i="16"/>
  <c r="G912" i="16"/>
  <c r="Y892" i="16"/>
  <c r="Y888" i="16"/>
  <c r="Y600" i="16"/>
  <c r="Y593" i="16"/>
  <c r="Y585" i="16"/>
  <c r="Y536" i="16"/>
  <c r="Y1275" i="16"/>
  <c r="Y843" i="16"/>
  <c r="Y803" i="16"/>
  <c r="Y800" i="16"/>
  <c r="Y792" i="16"/>
  <c r="Y737" i="16"/>
  <c r="Y680" i="16"/>
  <c r="Y676" i="16"/>
  <c r="Y672" i="16"/>
  <c r="Y668" i="16"/>
  <c r="Y664" i="16"/>
  <c r="Y652" i="16"/>
  <c r="Y617" i="16"/>
  <c r="Y522" i="16"/>
  <c r="Y515" i="16"/>
  <c r="Y456" i="16"/>
  <c r="Y317" i="16"/>
  <c r="Y313" i="16"/>
  <c r="Y305" i="16"/>
  <c r="Y290" i="16"/>
  <c r="Y1253" i="16"/>
  <c r="Y1249" i="16"/>
  <c r="Y1225" i="16"/>
  <c r="Y1173" i="16"/>
  <c r="Y1161" i="16"/>
  <c r="Y1137" i="16"/>
  <c r="Y954" i="16"/>
  <c r="Y914" i="16"/>
  <c r="Y890" i="16"/>
  <c r="Y864" i="16"/>
  <c r="Y754" i="16"/>
  <c r="Y689" i="16"/>
  <c r="Y635" i="16"/>
  <c r="Y1074" i="16"/>
  <c r="Y1052" i="16"/>
  <c r="Y764" i="16"/>
  <c r="Y744" i="16"/>
  <c r="Y508" i="16"/>
  <c r="Y480" i="16"/>
  <c r="Y464" i="16"/>
  <c r="Y379" i="16"/>
  <c r="Y291" i="16"/>
  <c r="D880" i="16"/>
  <c r="E880" i="16"/>
  <c r="F1242" i="16"/>
  <c r="H1242" i="16"/>
  <c r="J1242" i="16"/>
  <c r="H1002" i="16"/>
  <c r="D1002" i="16"/>
  <c r="H777" i="16"/>
  <c r="D777" i="16"/>
  <c r="F777" i="16"/>
  <c r="E777" i="16"/>
  <c r="I777" i="16"/>
  <c r="I581" i="16"/>
  <c r="D581" i="16"/>
  <c r="E548" i="16"/>
  <c r="F548" i="16"/>
  <c r="H548" i="16"/>
  <c r="J548" i="16"/>
  <c r="D548" i="16"/>
  <c r="I548" i="16"/>
  <c r="D989" i="16"/>
  <c r="E989" i="16"/>
  <c r="J989" i="16"/>
  <c r="D615" i="16"/>
  <c r="J930" i="16"/>
  <c r="J1076" i="16"/>
  <c r="E1076" i="16"/>
  <c r="E527" i="16"/>
  <c r="I651" i="16"/>
  <c r="H651" i="16"/>
  <c r="G1258" i="16"/>
  <c r="H1258" i="16"/>
  <c r="G671" i="16"/>
  <c r="F671" i="16"/>
  <c r="J671" i="16"/>
  <c r="H1257" i="16"/>
  <c r="E1161" i="16"/>
  <c r="H1161" i="16"/>
  <c r="F810" i="16"/>
  <c r="G1196" i="16"/>
  <c r="E1196" i="16"/>
  <c r="I1196" i="16"/>
  <c r="J1196" i="16"/>
  <c r="F593" i="16"/>
  <c r="H593" i="16"/>
  <c r="E927" i="16"/>
  <c r="H927" i="16"/>
  <c r="G290" i="16"/>
  <c r="D290" i="16"/>
  <c r="H290" i="16"/>
  <c r="I897" i="16"/>
  <c r="H897" i="16"/>
  <c r="E897" i="16"/>
  <c r="J997" i="16"/>
  <c r="H997" i="16"/>
  <c r="F997" i="16"/>
  <c r="G1269" i="16"/>
  <c r="D1269" i="16"/>
  <c r="S1195" i="16"/>
  <c r="Y1195" i="16"/>
  <c r="S1179" i="16"/>
  <c r="S1040" i="16"/>
  <c r="G1040" i="16" s="1"/>
  <c r="Y972" i="16"/>
  <c r="S972" i="16"/>
  <c r="S968" i="16"/>
  <c r="E948" i="16"/>
  <c r="J948" i="16"/>
  <c r="Y944" i="16"/>
  <c r="Y884" i="16"/>
  <c r="S884" i="16"/>
  <c r="J884" i="16" s="1"/>
  <c r="Y873" i="16"/>
  <c r="Y858" i="16"/>
  <c r="S858" i="16"/>
  <c r="S731" i="16"/>
  <c r="Y731" i="16"/>
  <c r="F784" i="16"/>
  <c r="Y1179" i="16"/>
  <c r="Y720" i="16"/>
  <c r="D1161" i="16"/>
  <c r="E963" i="16"/>
  <c r="E930" i="16"/>
  <c r="D927" i="16"/>
  <c r="I610" i="16"/>
  <c r="F610" i="16"/>
  <c r="G610" i="16"/>
  <c r="E276" i="16"/>
  <c r="D1188" i="16"/>
  <c r="Y912" i="16"/>
  <c r="H703" i="16"/>
  <c r="G703" i="16"/>
  <c r="G844" i="16"/>
  <c r="D844" i="16"/>
  <c r="S1171" i="16"/>
  <c r="G1171" i="16" s="1"/>
  <c r="H469" i="16"/>
  <c r="J585" i="16"/>
  <c r="G1076" i="16"/>
  <c r="J321" i="16"/>
  <c r="D651" i="16"/>
  <c r="G989" i="16"/>
  <c r="E671" i="16"/>
  <c r="H671" i="16"/>
  <c r="D360" i="16"/>
  <c r="J593" i="16"/>
  <c r="D888" i="16"/>
  <c r="D997" i="16"/>
  <c r="I1061" i="16"/>
  <c r="H1076" i="16"/>
  <c r="G570" i="16"/>
  <c r="J1116" i="16"/>
  <c r="F1116" i="16"/>
  <c r="S960" i="16"/>
  <c r="I672" i="16"/>
  <c r="G672" i="16"/>
  <c r="H672" i="16"/>
  <c r="J386" i="16"/>
  <c r="E386" i="16"/>
  <c r="F386" i="16"/>
  <c r="I367" i="16"/>
  <c r="I1141" i="16"/>
  <c r="J889" i="16"/>
  <c r="I889" i="16"/>
  <c r="G889" i="16"/>
  <c r="J732" i="16"/>
  <c r="H732" i="16"/>
  <c r="G465" i="16"/>
  <c r="H465" i="16"/>
  <c r="F536" i="16"/>
  <c r="E536" i="16"/>
  <c r="I785" i="16"/>
  <c r="J785" i="16"/>
  <c r="D785" i="16"/>
  <c r="I439" i="16"/>
  <c r="D439" i="16"/>
  <c r="H439" i="16"/>
  <c r="I463" i="16"/>
  <c r="J463" i="16"/>
  <c r="G463" i="16"/>
  <c r="I1066" i="16"/>
  <c r="E1066" i="16"/>
  <c r="H984" i="16"/>
  <c r="G984" i="16"/>
  <c r="E984" i="16"/>
  <c r="S944" i="16"/>
  <c r="S873" i="16"/>
  <c r="D873" i="16" s="1"/>
  <c r="E1203" i="16"/>
  <c r="G1203" i="16"/>
  <c r="H1203" i="16"/>
  <c r="Y817" i="16"/>
  <c r="Y1222" i="16"/>
  <c r="S1218" i="16"/>
  <c r="G1210" i="16"/>
  <c r="E1210" i="16"/>
  <c r="I1210" i="16"/>
  <c r="F1210" i="16"/>
  <c r="S1202" i="16"/>
  <c r="G1202" i="16" s="1"/>
  <c r="Y1158" i="16"/>
  <c r="S1158" i="16"/>
  <c r="H1158" i="16" s="1"/>
  <c r="S1123" i="16"/>
  <c r="F1123" i="16" s="1"/>
  <c r="S1115" i="16"/>
  <c r="Y1115" i="16"/>
  <c r="H1083" i="16"/>
  <c r="F1083" i="16"/>
  <c r="S1069" i="16"/>
  <c r="F1069" i="16" s="1"/>
  <c r="E1058" i="16"/>
  <c r="I1050" i="16"/>
  <c r="J1050" i="16"/>
  <c r="S1035" i="16"/>
  <c r="S1032" i="16"/>
  <c r="I1032" i="16" s="1"/>
  <c r="F1028" i="16"/>
  <c r="E1028" i="16"/>
  <c r="S990" i="16"/>
  <c r="H990" i="16" s="1"/>
  <c r="S986" i="16"/>
  <c r="Y986" i="16"/>
  <c r="S903" i="16"/>
  <c r="G903" i="16" s="1"/>
  <c r="S899" i="16"/>
  <c r="Y899" i="16"/>
  <c r="S808" i="16"/>
  <c r="Y808" i="16"/>
  <c r="Y804" i="16"/>
  <c r="S804" i="16"/>
  <c r="S769" i="16"/>
  <c r="G769" i="16" s="1"/>
  <c r="Y769" i="16"/>
  <c r="S746" i="16"/>
  <c r="H746" i="16" s="1"/>
  <c r="Y746" i="16"/>
  <c r="Y616" i="16"/>
  <c r="S616" i="16"/>
  <c r="S612" i="16"/>
  <c r="F612" i="16" s="1"/>
  <c r="Y612" i="16"/>
  <c r="S608" i="16"/>
  <c r="I608" i="16" s="1"/>
  <c r="Y608" i="16"/>
  <c r="Y604" i="16"/>
  <c r="S604" i="16"/>
  <c r="G604" i="16" s="1"/>
  <c r="S578" i="16"/>
  <c r="S571" i="16"/>
  <c r="Y563" i="16"/>
  <c r="S563" i="16"/>
  <c r="S544" i="16"/>
  <c r="E544" i="16" s="1"/>
  <c r="S300" i="16"/>
  <c r="F300" i="16" s="1"/>
  <c r="Y300" i="16"/>
  <c r="S293" i="16"/>
  <c r="G293" i="16" s="1"/>
  <c r="Y293" i="16"/>
  <c r="S268" i="16"/>
  <c r="J268" i="16" s="1"/>
  <c r="Y268" i="16"/>
  <c r="G264" i="16"/>
  <c r="J264" i="16"/>
  <c r="F966" i="16"/>
  <c r="J966" i="16"/>
  <c r="J500" i="16"/>
  <c r="J929" i="16"/>
  <c r="G1243" i="16"/>
  <c r="E610" i="16"/>
  <c r="J1243" i="16"/>
  <c r="D834" i="16"/>
  <c r="H852" i="16"/>
  <c r="J570" i="16"/>
  <c r="J439" i="16"/>
  <c r="E755" i="16"/>
  <c r="G1002" i="16"/>
  <c r="D1028" i="16"/>
  <c r="G276" i="16"/>
  <c r="G444" i="16"/>
  <c r="D345" i="16"/>
  <c r="H1028" i="16"/>
  <c r="I927" i="16"/>
  <c r="S555" i="16"/>
  <c r="D555" i="16" s="1"/>
  <c r="S575" i="16"/>
  <c r="I276" i="16"/>
  <c r="I744" i="16"/>
  <c r="E912" i="16"/>
  <c r="D1287" i="16"/>
  <c r="I1287" i="16"/>
  <c r="G336" i="16"/>
  <c r="J336" i="16"/>
  <c r="H912" i="16"/>
  <c r="Y1020" i="16"/>
  <c r="E666" i="16"/>
  <c r="Y866" i="16"/>
  <c r="D952" i="16"/>
  <c r="D275" i="16"/>
  <c r="G1116" i="16"/>
  <c r="H615" i="16"/>
  <c r="E585" i="16"/>
  <c r="F1076" i="16"/>
  <c r="F1050" i="16"/>
  <c r="G1050" i="16"/>
  <c r="D386" i="16"/>
  <c r="F672" i="16"/>
  <c r="J651" i="16"/>
  <c r="I376" i="16"/>
  <c r="D1141" i="16"/>
  <c r="G665" i="16"/>
  <c r="D671" i="16"/>
  <c r="F889" i="16"/>
  <c r="E1083" i="16"/>
  <c r="D465" i="16"/>
  <c r="G548" i="16"/>
  <c r="I755" i="16"/>
  <c r="J1066" i="16"/>
  <c r="J1083" i="16"/>
  <c r="F463" i="16"/>
  <c r="I593" i="16"/>
  <c r="H785" i="16"/>
  <c r="F888" i="16"/>
  <c r="D1210" i="16"/>
  <c r="E439" i="16"/>
  <c r="F618" i="16"/>
  <c r="E570" i="16"/>
  <c r="E701" i="16"/>
  <c r="D1286" i="16"/>
  <c r="E1013" i="16"/>
  <c r="I290" i="16"/>
  <c r="G966" i="16"/>
  <c r="I618" i="16"/>
  <c r="D948" i="16"/>
  <c r="D1060" i="16"/>
  <c r="E1060" i="16"/>
  <c r="G1060" i="16"/>
  <c r="H1253" i="16"/>
  <c r="E379" i="16"/>
  <c r="H379" i="16"/>
  <c r="G379" i="16"/>
  <c r="G1098" i="16"/>
  <c r="F1098" i="16"/>
  <c r="I1098" i="16"/>
  <c r="S754" i="16"/>
  <c r="F847" i="16"/>
  <c r="I1073" i="16"/>
  <c r="E1073" i="16"/>
  <c r="E291" i="16"/>
  <c r="D291" i="16"/>
  <c r="F684" i="16"/>
  <c r="H684" i="16"/>
  <c r="I539" i="16"/>
  <c r="G539" i="16"/>
  <c r="G519" i="16"/>
  <c r="J519" i="16"/>
  <c r="J528" i="16"/>
  <c r="I528" i="16"/>
  <c r="D706" i="16"/>
  <c r="J706" i="16"/>
  <c r="E914" i="16"/>
  <c r="H914" i="16"/>
  <c r="S1107" i="16"/>
  <c r="J1107" i="16" s="1"/>
  <c r="Y952" i="16"/>
  <c r="S976" i="16"/>
  <c r="J976" i="16" s="1"/>
  <c r="D404" i="16"/>
  <c r="H404" i="16"/>
  <c r="G404" i="16"/>
  <c r="J404" i="16"/>
  <c r="D456" i="16"/>
  <c r="F456" i="16"/>
  <c r="G456" i="16"/>
  <c r="F586" i="16"/>
  <c r="G586" i="16"/>
  <c r="H586" i="16"/>
  <c r="J538" i="16"/>
  <c r="H538" i="16"/>
  <c r="S762" i="16"/>
  <c r="E982" i="16"/>
  <c r="I627" i="16"/>
  <c r="H627" i="16"/>
  <c r="Y1282" i="16"/>
  <c r="D1085" i="16"/>
  <c r="H1085" i="16"/>
  <c r="H1213" i="16"/>
  <c r="F1213" i="16"/>
  <c r="D1213" i="16"/>
  <c r="G676" i="16"/>
  <c r="D676" i="16"/>
  <c r="E676" i="16"/>
  <c r="G568" i="16"/>
  <c r="J568" i="16"/>
  <c r="Y923" i="16"/>
  <c r="I1027" i="16"/>
  <c r="F1027" i="16"/>
  <c r="H1027" i="16"/>
  <c r="Y1235" i="16"/>
  <c r="Y812" i="16"/>
  <c r="Y1210" i="16"/>
  <c r="Y555" i="16"/>
  <c r="G1257" i="16"/>
  <c r="I1122" i="16"/>
  <c r="H1122" i="16"/>
  <c r="D1122" i="16"/>
  <c r="J1122" i="16"/>
  <c r="I659" i="16"/>
  <c r="J659" i="16"/>
  <c r="G376" i="16"/>
  <c r="I352" i="16"/>
  <c r="H352" i="16"/>
  <c r="G921" i="16"/>
  <c r="H929" i="16"/>
  <c r="H752" i="16"/>
  <c r="E1287" i="16"/>
  <c r="H610" i="16"/>
  <c r="I844" i="16"/>
  <c r="I834" i="16"/>
  <c r="E992" i="16"/>
  <c r="D319" i="16"/>
  <c r="G303" i="16"/>
  <c r="D570" i="16"/>
  <c r="G625" i="16"/>
  <c r="E732" i="16"/>
  <c r="G927" i="16"/>
  <c r="D586" i="16"/>
  <c r="G605" i="16"/>
  <c r="J267" i="16"/>
  <c r="I615" i="16"/>
  <c r="D915" i="16"/>
  <c r="E586" i="16"/>
  <c r="H706" i="16"/>
  <c r="H276" i="16"/>
  <c r="E528" i="16"/>
  <c r="G528" i="16"/>
  <c r="D744" i="16"/>
  <c r="I984" i="16"/>
  <c r="I912" i="16"/>
  <c r="F1253" i="16"/>
  <c r="G684" i="16"/>
  <c r="I444" i="16"/>
  <c r="I377" i="16"/>
  <c r="Y738" i="16"/>
  <c r="E952" i="16"/>
  <c r="H367" i="16"/>
  <c r="S1092" i="16"/>
  <c r="I1116" i="16"/>
  <c r="E620" i="16"/>
  <c r="I1076" i="16"/>
  <c r="E487" i="16"/>
  <c r="E321" i="16"/>
  <c r="H1060" i="16"/>
  <c r="H1050" i="16"/>
  <c r="I267" i="16"/>
  <c r="J847" i="16"/>
  <c r="F396" i="16"/>
  <c r="D1098" i="16"/>
  <c r="E367" i="16"/>
  <c r="H506" i="16"/>
  <c r="F651" i="16"/>
  <c r="E1037" i="16"/>
  <c r="H989" i="16"/>
  <c r="H386" i="16"/>
  <c r="F1073" i="16"/>
  <c r="E665" i="16"/>
  <c r="G1053" i="16"/>
  <c r="I1083" i="16"/>
  <c r="H514" i="16"/>
  <c r="E889" i="16"/>
  <c r="F465" i="16"/>
  <c r="D914" i="16"/>
  <c r="F659" i="16"/>
  <c r="F291" i="16"/>
  <c r="I519" i="16"/>
  <c r="F378" i="16"/>
  <c r="J1257" i="16"/>
  <c r="D1066" i="16"/>
  <c r="J1161" i="16"/>
  <c r="E463" i="16"/>
  <c r="J625" i="16"/>
  <c r="I586" i="16"/>
  <c r="H659" i="16"/>
  <c r="G785" i="16"/>
  <c r="E785" i="16"/>
  <c r="D659" i="16"/>
  <c r="H888" i="16"/>
  <c r="J1013" i="16"/>
  <c r="F1122" i="16"/>
  <c r="H1210" i="16"/>
  <c r="D719" i="16"/>
  <c r="J1210" i="16"/>
  <c r="J316" i="16"/>
  <c r="I701" i="16"/>
  <c r="F1286" i="16"/>
  <c r="F290" i="16"/>
  <c r="E364" i="16"/>
  <c r="G439" i="16"/>
  <c r="G291" i="16"/>
  <c r="I1112" i="16"/>
  <c r="H966" i="16"/>
  <c r="J618" i="16"/>
  <c r="H921" i="16"/>
  <c r="J364" i="16"/>
  <c r="D1027" i="16"/>
  <c r="F676" i="16"/>
  <c r="F929" i="16"/>
  <c r="F785" i="16"/>
  <c r="F1234" i="16"/>
  <c r="G1234" i="16"/>
  <c r="G1028" i="16"/>
  <c r="I827" i="16"/>
  <c r="F827" i="16"/>
  <c r="S600" i="16"/>
  <c r="J600" i="16" s="1"/>
  <c r="F932" i="16"/>
  <c r="G932" i="16"/>
  <c r="D932" i="16"/>
  <c r="F609" i="16"/>
  <c r="I609" i="16"/>
  <c r="F389" i="16"/>
  <c r="G389" i="16"/>
  <c r="G764" i="16"/>
  <c r="F764" i="16"/>
  <c r="D764" i="16"/>
  <c r="E648" i="16"/>
  <c r="D648" i="16"/>
  <c r="F648" i="16"/>
  <c r="D705" i="16"/>
  <c r="J705" i="16"/>
  <c r="Y816" i="16"/>
  <c r="E552" i="16"/>
  <c r="I552" i="16"/>
  <c r="E403" i="16"/>
  <c r="J403" i="16"/>
  <c r="G557" i="16"/>
  <c r="I557" i="16"/>
  <c r="S1154" i="16"/>
  <c r="G1154" i="16" s="1"/>
  <c r="S892" i="16"/>
  <c r="I521" i="16"/>
  <c r="G521" i="16"/>
  <c r="J521" i="16"/>
  <c r="H521" i="16"/>
  <c r="E1088" i="16"/>
  <c r="I1088" i="16"/>
  <c r="F1088" i="16"/>
  <c r="Y1013" i="16"/>
  <c r="S727" i="16"/>
  <c r="G1109" i="16"/>
  <c r="E561" i="16"/>
  <c r="J561" i="16"/>
  <c r="D993" i="16"/>
  <c r="J993" i="16"/>
  <c r="Y896" i="16"/>
  <c r="S923" i="16"/>
  <c r="D923" i="16" s="1"/>
  <c r="Y1123" i="16"/>
  <c r="Y1146" i="16"/>
  <c r="Y1138" i="16"/>
  <c r="Y1043" i="16"/>
  <c r="Y1035" i="16"/>
  <c r="Y994" i="16"/>
  <c r="Y931" i="16"/>
  <c r="Y907" i="16"/>
  <c r="Y869" i="16"/>
  <c r="S1189" i="16"/>
  <c r="F1189" i="16" s="1"/>
  <c r="Y1189" i="16"/>
  <c r="S1157" i="16"/>
  <c r="G1061" i="16"/>
  <c r="S936" i="16"/>
  <c r="J936" i="16" s="1"/>
  <c r="Y936" i="16"/>
  <c r="G929" i="16"/>
  <c r="Y875" i="16"/>
  <c r="S875" i="16"/>
  <c r="D875" i="16" s="1"/>
  <c r="S819" i="16"/>
  <c r="Y819" i="16"/>
  <c r="S655" i="16"/>
  <c r="J655" i="16" s="1"/>
  <c r="S447" i="16"/>
  <c r="Y435" i="16"/>
  <c r="S435" i="16"/>
  <c r="Y419" i="16"/>
  <c r="S419" i="16"/>
  <c r="G419" i="16" s="1"/>
  <c r="G403" i="16"/>
  <c r="F391" i="16"/>
  <c r="Y274" i="16"/>
  <c r="S274" i="16"/>
  <c r="E1229" i="16"/>
  <c r="H688" i="16"/>
  <c r="Y1265" i="16"/>
  <c r="J1068" i="16"/>
  <c r="G674" i="16"/>
  <c r="G1106" i="16"/>
  <c r="H370" i="16"/>
  <c r="E1265" i="16"/>
  <c r="J1265" i="16"/>
  <c r="G370" i="16"/>
  <c r="H289" i="16"/>
  <c r="F289" i="16"/>
  <c r="S311" i="16"/>
  <c r="G961" i="16"/>
  <c r="E961" i="16"/>
  <c r="H981" i="16"/>
  <c r="I348" i="16"/>
  <c r="G289" i="16"/>
  <c r="G1122" i="16"/>
  <c r="G1068" i="16"/>
  <c r="I647" i="16"/>
  <c r="G647" i="16"/>
  <c r="F1229" i="16"/>
  <c r="S1249" i="16"/>
  <c r="J1249" i="16" s="1"/>
  <c r="E1217" i="16"/>
  <c r="S1118" i="16"/>
  <c r="S1225" i="16"/>
  <c r="Y330" i="16"/>
  <c r="H1052" i="16"/>
  <c r="J1052" i="16"/>
  <c r="E1052" i="16"/>
  <c r="H507" i="16"/>
  <c r="J507" i="16"/>
  <c r="G507" i="16"/>
  <c r="I1113" i="16"/>
  <c r="J1113" i="16"/>
  <c r="J308" i="16"/>
  <c r="Y1057" i="16"/>
  <c r="Y1166" i="16"/>
  <c r="Y1162" i="16"/>
  <c r="Y849" i="16"/>
  <c r="Y714" i="16"/>
  <c r="Y706" i="16"/>
  <c r="Y624" i="16"/>
  <c r="Y589" i="16"/>
  <c r="Y581" i="16"/>
  <c r="Y548" i="16"/>
  <c r="Y544" i="16"/>
  <c r="S1216" i="16"/>
  <c r="S802" i="16"/>
  <c r="D802" i="16" s="1"/>
  <c r="Y802" i="16"/>
  <c r="Y740" i="16"/>
  <c r="S740" i="16"/>
  <c r="Y472" i="16"/>
  <c r="S472" i="16"/>
  <c r="J472" i="16" s="1"/>
  <c r="Y1257" i="16"/>
  <c r="Y1242" i="16"/>
  <c r="Y963" i="16"/>
  <c r="Y781" i="16"/>
  <c r="Y777" i="16"/>
  <c r="Y529" i="16"/>
  <c r="Y460" i="16"/>
  <c r="Y403" i="16"/>
  <c r="Y260" i="16"/>
  <c r="S857" i="16"/>
  <c r="D857" i="16" s="1"/>
  <c r="Y857" i="16"/>
  <c r="Y1286" i="16"/>
  <c r="Y1278" i="16"/>
  <c r="Y1229" i="16"/>
  <c r="Y1218" i="16"/>
  <c r="Y1211" i="16"/>
  <c r="Y1203" i="16"/>
  <c r="Y1180" i="16"/>
  <c r="Y1157" i="16"/>
  <c r="Y1153" i="16"/>
  <c r="Y1149" i="16"/>
  <c r="Y1145" i="16"/>
  <c r="Y1141" i="16"/>
  <c r="Y1133" i="16"/>
  <c r="Y1129" i="16"/>
  <c r="Y1122" i="16"/>
  <c r="Y1068" i="16"/>
  <c r="Y1030" i="16"/>
  <c r="Y1022" i="16"/>
  <c r="Y1004" i="16"/>
  <c r="Y996" i="16"/>
  <c r="Y985" i="16"/>
  <c r="Y977" i="16"/>
  <c r="Y969" i="16"/>
  <c r="Y964" i="16"/>
  <c r="Y933" i="16"/>
  <c r="Y929" i="16"/>
  <c r="Y921" i="16"/>
  <c r="Y917" i="16"/>
  <c r="Y913" i="16"/>
  <c r="Y905" i="16"/>
  <c r="Y898" i="16"/>
  <c r="Y883" i="16"/>
  <c r="Y880" i="16"/>
  <c r="Y674" i="16"/>
  <c r="Y576" i="16"/>
  <c r="Y473" i="16"/>
  <c r="Y465" i="16"/>
  <c r="Y409" i="16"/>
  <c r="Y401" i="16"/>
  <c r="Y397" i="16"/>
  <c r="Y386" i="16"/>
  <c r="Y282" i="16"/>
  <c r="E466" i="16"/>
  <c r="F466" i="16"/>
  <c r="D466" i="16"/>
  <c r="H275" i="16"/>
  <c r="F275" i="16"/>
  <c r="E275" i="16"/>
  <c r="I275" i="16"/>
  <c r="G275" i="16"/>
  <c r="G1232" i="16"/>
  <c r="F1232" i="16"/>
  <c r="H1232" i="16"/>
  <c r="E1232" i="16"/>
  <c r="D1232" i="16"/>
  <c r="H284" i="16"/>
  <c r="J284" i="16"/>
  <c r="I284" i="16"/>
  <c r="E284" i="16"/>
  <c r="F284" i="16"/>
  <c r="J1022" i="16"/>
  <c r="G1022" i="16"/>
  <c r="D1022" i="16"/>
  <c r="E1022" i="16"/>
  <c r="F1022" i="16"/>
  <c r="J885" i="16"/>
  <c r="D643" i="16"/>
  <c r="H643" i="16"/>
  <c r="I643" i="16"/>
  <c r="J643" i="16"/>
  <c r="G643" i="16"/>
  <c r="F643" i="16"/>
  <c r="F385" i="16"/>
  <c r="J385" i="16"/>
  <c r="H385" i="16"/>
  <c r="G385" i="16"/>
  <c r="H611" i="16"/>
  <c r="I611" i="16"/>
  <c r="F611" i="16"/>
  <c r="J611" i="16"/>
  <c r="D611" i="16"/>
  <c r="E611" i="16"/>
  <c r="J843" i="16"/>
  <c r="H843" i="16"/>
  <c r="D843" i="16"/>
  <c r="F843" i="16"/>
  <c r="J466" i="16"/>
  <c r="I1022" i="16"/>
  <c r="F703" i="16"/>
  <c r="E703" i="16"/>
  <c r="D703" i="16"/>
  <c r="I703" i="16"/>
  <c r="J711" i="16"/>
  <c r="D711" i="16"/>
  <c r="E711" i="16"/>
  <c r="G711" i="16"/>
  <c r="I711" i="16"/>
  <c r="J1232" i="16"/>
  <c r="I730" i="16"/>
  <c r="F730" i="16"/>
  <c r="G1176" i="16"/>
  <c r="I1176" i="16"/>
  <c r="H1176" i="16"/>
  <c r="J1176" i="16"/>
  <c r="D1176" i="16"/>
  <c r="F1176" i="16"/>
  <c r="E1176" i="16"/>
  <c r="G448" i="16"/>
  <c r="I448" i="16"/>
  <c r="E448" i="16"/>
  <c r="D448" i="16"/>
  <c r="F448" i="16"/>
  <c r="G468" i="16"/>
  <c r="J468" i="16"/>
  <c r="I468" i="16"/>
  <c r="E468" i="16"/>
  <c r="F468" i="16"/>
  <c r="E957" i="16"/>
  <c r="J957" i="16"/>
  <c r="G957" i="16"/>
  <c r="H957" i="16"/>
  <c r="F957" i="16"/>
  <c r="I957" i="16"/>
  <c r="F971" i="16"/>
  <c r="E1251" i="16"/>
  <c r="J1251" i="16"/>
  <c r="I1251" i="16"/>
  <c r="G1251" i="16"/>
  <c r="F1251" i="16"/>
  <c r="H1251" i="16"/>
  <c r="D1251" i="16"/>
  <c r="D863" i="16"/>
  <c r="H863" i="16"/>
  <c r="G863" i="16"/>
  <c r="F1250" i="16"/>
  <c r="G1250" i="16"/>
  <c r="D1250" i="16"/>
  <c r="I1250" i="16"/>
  <c r="J1250" i="16"/>
  <c r="J1106" i="16"/>
  <c r="E1106" i="16"/>
  <c r="H1106" i="16"/>
  <c r="F1106" i="16"/>
  <c r="I1106" i="16"/>
  <c r="I1075" i="16"/>
  <c r="I1043" i="16"/>
  <c r="G1043" i="16"/>
  <c r="F1043" i="16"/>
  <c r="H1043" i="16"/>
  <c r="E1043" i="16"/>
  <c r="G985" i="16"/>
  <c r="J985" i="16"/>
  <c r="E985" i="16"/>
  <c r="D985" i="16"/>
  <c r="J979" i="16"/>
  <c r="G979" i="16"/>
  <c r="H979" i="16"/>
  <c r="I979" i="16"/>
  <c r="D979" i="16"/>
  <c r="G909" i="16"/>
  <c r="D909" i="16"/>
  <c r="J898" i="16"/>
  <c r="I898" i="16"/>
  <c r="E898" i="16"/>
  <c r="F898" i="16"/>
  <c r="H898" i="16"/>
  <c r="H887" i="16"/>
  <c r="G887" i="16"/>
  <c r="I887" i="16"/>
  <c r="J887" i="16"/>
  <c r="E887" i="16"/>
  <c r="H856" i="16"/>
  <c r="F856" i="16"/>
  <c r="I856" i="16"/>
  <c r="J856" i="16"/>
  <c r="D856" i="16"/>
  <c r="E856" i="16"/>
  <c r="G856" i="16"/>
  <c r="I816" i="16"/>
  <c r="D816" i="16"/>
  <c r="F816" i="16"/>
  <c r="H816" i="16"/>
  <c r="E816" i="16"/>
  <c r="G816" i="16"/>
  <c r="J816" i="16"/>
  <c r="H809" i="16"/>
  <c r="D809" i="16"/>
  <c r="J809" i="16"/>
  <c r="I809" i="16"/>
  <c r="E809" i="16"/>
  <c r="G809" i="16"/>
  <c r="H794" i="16"/>
  <c r="F794" i="16"/>
  <c r="G794" i="16"/>
  <c r="J794" i="16"/>
  <c r="H761" i="16"/>
  <c r="D691" i="16"/>
  <c r="F691" i="16"/>
  <c r="G691" i="16"/>
  <c r="E691" i="16"/>
  <c r="I691" i="16"/>
  <c r="J688" i="16"/>
  <c r="D688" i="16"/>
  <c r="I688" i="16"/>
  <c r="G688" i="16"/>
  <c r="D681" i="16"/>
  <c r="J681" i="16"/>
  <c r="I681" i="16"/>
  <c r="D631" i="16"/>
  <c r="F631" i="16"/>
  <c r="E631" i="16"/>
  <c r="H533" i="16"/>
  <c r="D533" i="16"/>
  <c r="F533" i="16"/>
  <c r="E533" i="16"/>
  <c r="G533" i="16"/>
  <c r="I533" i="16"/>
  <c r="J533" i="16"/>
  <c r="D515" i="16"/>
  <c r="H515" i="16"/>
  <c r="F515" i="16"/>
  <c r="J515" i="16"/>
  <c r="G515" i="16"/>
  <c r="I515" i="16"/>
  <c r="E515" i="16"/>
  <c r="G483" i="16"/>
  <c r="I483" i="16"/>
  <c r="D483" i="16"/>
  <c r="F483" i="16"/>
  <c r="E483" i="16"/>
  <c r="J457" i="16"/>
  <c r="F457" i="16"/>
  <c r="E375" i="16"/>
  <c r="H375" i="16"/>
  <c r="J375" i="16"/>
  <c r="G375" i="16"/>
  <c r="F375" i="16"/>
  <c r="D361" i="16"/>
  <c r="G361" i="16"/>
  <c r="F361" i="16"/>
  <c r="E339" i="16"/>
  <c r="H339" i="16"/>
  <c r="F339" i="16"/>
  <c r="I339" i="16"/>
  <c r="D339" i="16"/>
  <c r="I269" i="16"/>
  <c r="E269" i="16"/>
  <c r="H269" i="16"/>
  <c r="D269" i="16"/>
  <c r="J269" i="16"/>
  <c r="F269" i="16"/>
  <c r="G269" i="16"/>
  <c r="F823" i="16"/>
  <c r="F1240" i="16"/>
  <c r="E1240" i="16"/>
  <c r="I695" i="16"/>
  <c r="J695" i="16"/>
  <c r="H617" i="16"/>
  <c r="D780" i="16"/>
  <c r="G780" i="16"/>
  <c r="I780" i="16"/>
  <c r="D992" i="16"/>
  <c r="F992" i="16"/>
  <c r="F416" i="16"/>
  <c r="I416" i="16"/>
  <c r="E1220" i="16"/>
  <c r="J1220" i="16"/>
  <c r="G1220" i="16"/>
  <c r="E632" i="16"/>
  <c r="I632" i="16"/>
  <c r="F632" i="16"/>
  <c r="G632" i="16"/>
  <c r="D1205" i="16"/>
  <c r="H1205" i="16"/>
  <c r="F1205" i="16"/>
  <c r="E1205" i="16"/>
  <c r="F963" i="16"/>
  <c r="H963" i="16"/>
  <c r="G963" i="16"/>
  <c r="D963" i="16"/>
  <c r="J1267" i="16"/>
  <c r="E1267" i="16"/>
  <c r="G1267" i="16"/>
  <c r="D1267" i="16"/>
  <c r="H1267" i="16"/>
  <c r="E938" i="16"/>
  <c r="D938" i="16"/>
  <c r="G938" i="16"/>
  <c r="H938" i="16"/>
  <c r="F938" i="16"/>
  <c r="J938" i="16"/>
  <c r="I938" i="16"/>
  <c r="D867" i="16"/>
  <c r="J867" i="16"/>
  <c r="I867" i="16"/>
  <c r="G867" i="16"/>
  <c r="F867" i="16"/>
  <c r="H867" i="16"/>
  <c r="E867" i="16"/>
  <c r="J735" i="16"/>
  <c r="H735" i="16"/>
  <c r="G660" i="16"/>
  <c r="F660" i="16"/>
  <c r="E660" i="16"/>
  <c r="J660" i="16"/>
  <c r="D660" i="16"/>
  <c r="I660" i="16"/>
  <c r="H660" i="16"/>
  <c r="J636" i="16"/>
  <c r="E636" i="16"/>
  <c r="I636" i="16"/>
  <c r="D636" i="16"/>
  <c r="F636" i="16"/>
  <c r="H636" i="16"/>
  <c r="G636" i="16"/>
  <c r="I628" i="16"/>
  <c r="F628" i="16"/>
  <c r="E628" i="16"/>
  <c r="E497" i="16"/>
  <c r="I497" i="16"/>
  <c r="D497" i="16"/>
  <c r="J497" i="16"/>
  <c r="F497" i="16"/>
  <c r="H497" i="16"/>
  <c r="G497" i="16"/>
  <c r="J455" i="16"/>
  <c r="G455" i="16"/>
  <c r="E455" i="16"/>
  <c r="H455" i="16"/>
  <c r="D455" i="16"/>
  <c r="H413" i="16"/>
  <c r="D413" i="16"/>
  <c r="I413" i="16"/>
  <c r="H383" i="16"/>
  <c r="G383" i="16"/>
  <c r="D383" i="16"/>
  <c r="F285" i="16"/>
  <c r="J285" i="16"/>
  <c r="G628" i="16"/>
  <c r="J1205" i="16"/>
  <c r="J359" i="16"/>
  <c r="E735" i="16"/>
  <c r="I697" i="16"/>
  <c r="F697" i="16"/>
  <c r="G697" i="16"/>
  <c r="I338" i="16"/>
  <c r="F946" i="16"/>
  <c r="G946" i="16"/>
  <c r="J946" i="16"/>
  <c r="E756" i="16"/>
  <c r="G756" i="16"/>
  <c r="F756" i="16"/>
  <c r="D756" i="16"/>
  <c r="J756" i="16"/>
  <c r="J632" i="16"/>
  <c r="J658" i="16"/>
  <c r="E658" i="16"/>
  <c r="D628" i="16"/>
  <c r="D1220" i="16"/>
  <c r="H628" i="16"/>
  <c r="F1267" i="16"/>
  <c r="G689" i="16"/>
  <c r="I689" i="16"/>
  <c r="G770" i="16"/>
  <c r="J770" i="16"/>
  <c r="H770" i="16"/>
  <c r="I770" i="16"/>
  <c r="G620" i="16"/>
  <c r="I620" i="16"/>
  <c r="F620" i="16"/>
  <c r="H320" i="16"/>
  <c r="G363" i="16"/>
  <c r="F363" i="16"/>
  <c r="H363" i="16"/>
  <c r="D363" i="16"/>
  <c r="H665" i="16"/>
  <c r="D665" i="16"/>
  <c r="F479" i="16"/>
  <c r="D479" i="16"/>
  <c r="H316" i="16"/>
  <c r="G316" i="16"/>
  <c r="E316" i="16"/>
  <c r="F948" i="16"/>
  <c r="G948" i="16"/>
  <c r="I948" i="16"/>
  <c r="H948" i="16"/>
  <c r="E1201" i="16"/>
  <c r="F1201" i="16"/>
  <c r="G1112" i="16"/>
  <c r="D1112" i="16"/>
  <c r="F1112" i="16"/>
  <c r="E1112" i="16"/>
  <c r="H1112" i="16"/>
  <c r="J276" i="16"/>
  <c r="D276" i="16"/>
  <c r="D557" i="16"/>
  <c r="F557" i="16"/>
  <c r="J557" i="16"/>
  <c r="G997" i="16"/>
  <c r="E997" i="16"/>
  <c r="I997" i="16"/>
  <c r="H993" i="16"/>
  <c r="G993" i="16"/>
  <c r="H1018" i="16"/>
  <c r="E1018" i="16"/>
  <c r="D1018" i="16"/>
  <c r="I669" i="16"/>
  <c r="H669" i="16"/>
  <c r="G669" i="16"/>
  <c r="J669" i="16"/>
  <c r="I588" i="16"/>
  <c r="H588" i="16"/>
  <c r="D577" i="16"/>
  <c r="G577" i="16"/>
  <c r="E535" i="16"/>
  <c r="D535" i="16"/>
  <c r="G475" i="16"/>
  <c r="I475" i="16"/>
  <c r="F475" i="16"/>
  <c r="E475" i="16"/>
  <c r="G1217" i="16"/>
  <c r="F1217" i="16"/>
  <c r="G340" i="16"/>
  <c r="H340" i="16"/>
  <c r="E340" i="16"/>
  <c r="G399" i="16"/>
  <c r="E399" i="16"/>
  <c r="H399" i="16"/>
  <c r="G1104" i="16"/>
  <c r="E1104" i="16"/>
  <c r="J1104" i="16"/>
  <c r="I737" i="16"/>
  <c r="F737" i="16"/>
  <c r="G737" i="16"/>
  <c r="D1145" i="16"/>
  <c r="H1145" i="16"/>
  <c r="J1145" i="16"/>
  <c r="G1145" i="16"/>
  <c r="D1044" i="16"/>
  <c r="H1044" i="16"/>
  <c r="G602" i="16"/>
  <c r="I602" i="16"/>
  <c r="J602" i="16"/>
  <c r="H602" i="16"/>
  <c r="D602" i="16"/>
  <c r="F602" i="16"/>
  <c r="F1104" i="16"/>
  <c r="J1268" i="16"/>
  <c r="F1268" i="16"/>
  <c r="D1268" i="16"/>
  <c r="G840" i="16"/>
  <c r="J840" i="16"/>
  <c r="I1145" i="16"/>
  <c r="J1081" i="16"/>
  <c r="H513" i="16"/>
  <c r="G513" i="16"/>
  <c r="E513" i="16"/>
  <c r="F513" i="16"/>
  <c r="D569" i="16"/>
  <c r="F569" i="16"/>
  <c r="J569" i="16"/>
  <c r="G569" i="16"/>
  <c r="I569" i="16"/>
  <c r="E569" i="16"/>
  <c r="H569" i="16"/>
  <c r="G996" i="16"/>
  <c r="H996" i="16"/>
  <c r="F996" i="16"/>
  <c r="D996" i="16"/>
  <c r="I996" i="16"/>
  <c r="J996" i="16"/>
  <c r="E1227" i="16"/>
  <c r="E408" i="16"/>
  <c r="J408" i="16"/>
  <c r="H408" i="16"/>
  <c r="I408" i="16"/>
  <c r="D408" i="16"/>
  <c r="F408" i="16"/>
  <c r="J464" i="16"/>
  <c r="I464" i="16"/>
  <c r="E464" i="16"/>
  <c r="F464" i="16"/>
  <c r="G464" i="16"/>
  <c r="H464" i="16"/>
  <c r="D464" i="16"/>
  <c r="E491" i="16"/>
  <c r="G491" i="16"/>
  <c r="H491" i="16"/>
  <c r="F491" i="16"/>
  <c r="H1156" i="16"/>
  <c r="G1156" i="16"/>
  <c r="J1156" i="16"/>
  <c r="I1156" i="16"/>
  <c r="D1156" i="16"/>
  <c r="E1156" i="16"/>
  <c r="I540" i="16"/>
  <c r="G540" i="16"/>
  <c r="F399" i="16"/>
  <c r="D399" i="16"/>
  <c r="G1268" i="16"/>
  <c r="I1268" i="16"/>
  <c r="I768" i="16"/>
  <c r="D1104" i="16"/>
  <c r="H303" i="16"/>
  <c r="J303" i="16"/>
  <c r="I303" i="16"/>
  <c r="D303" i="16"/>
  <c r="J315" i="16"/>
  <c r="D315" i="16"/>
  <c r="F692" i="16"/>
  <c r="H692" i="16"/>
  <c r="J699" i="16"/>
  <c r="E699" i="16"/>
  <c r="F1173" i="16"/>
  <c r="D1173" i="16"/>
  <c r="E271" i="16"/>
  <c r="I271" i="16"/>
  <c r="E415" i="16"/>
  <c r="H437" i="16"/>
  <c r="J437" i="16"/>
  <c r="D437" i="16"/>
  <c r="F437" i="16"/>
  <c r="G437" i="16"/>
  <c r="E437" i="16"/>
  <c r="E1270" i="16"/>
  <c r="G1270" i="16"/>
  <c r="G401" i="16"/>
  <c r="D401" i="16"/>
  <c r="E401" i="16"/>
  <c r="H401" i="16"/>
  <c r="F401" i="16"/>
  <c r="D488" i="16"/>
  <c r="E488" i="16"/>
  <c r="H488" i="16"/>
  <c r="H504" i="16"/>
  <c r="F504" i="16"/>
  <c r="G504" i="16"/>
  <c r="E504" i="16"/>
  <c r="J729" i="16"/>
  <c r="F729" i="16"/>
  <c r="J1129" i="16"/>
  <c r="I1129" i="16"/>
  <c r="E1129" i="16"/>
  <c r="D1129" i="16"/>
  <c r="G1129" i="16"/>
  <c r="F336" i="16"/>
  <c r="D336" i="16"/>
  <c r="J776" i="16"/>
  <c r="E776" i="16"/>
  <c r="F834" i="16"/>
  <c r="J834" i="16"/>
  <c r="F848" i="16"/>
  <c r="I1089" i="16"/>
  <c r="G306" i="16"/>
  <c r="J306" i="16"/>
  <c r="E306" i="16"/>
  <c r="H306" i="16"/>
  <c r="E392" i="16"/>
  <c r="F392" i="16"/>
  <c r="H392" i="16"/>
  <c r="H474" i="16"/>
  <c r="D333" i="16"/>
  <c r="H333" i="16"/>
  <c r="I995" i="16"/>
  <c r="D995" i="16"/>
  <c r="F995" i="16"/>
  <c r="J995" i="16"/>
  <c r="E995" i="16"/>
  <c r="I987" i="16"/>
  <c r="J987" i="16"/>
  <c r="G987" i="16"/>
  <c r="J952" i="16"/>
  <c r="F952" i="16"/>
  <c r="H952" i="16"/>
  <c r="G952" i="16"/>
  <c r="F937" i="16"/>
  <c r="F915" i="16"/>
  <c r="J915" i="16"/>
  <c r="I915" i="16"/>
  <c r="G915" i="16"/>
  <c r="H855" i="16"/>
  <c r="G855" i="16"/>
  <c r="D829" i="16"/>
  <c r="I829" i="16"/>
  <c r="H829" i="16"/>
  <c r="E829" i="16"/>
  <c r="F829" i="16"/>
  <c r="G829" i="16"/>
  <c r="J829" i="16"/>
  <c r="H722" i="16"/>
  <c r="J722" i="16"/>
  <c r="I722" i="16"/>
  <c r="D722" i="16"/>
  <c r="F722" i="16"/>
  <c r="F713" i="16"/>
  <c r="H713" i="16"/>
  <c r="E713" i="16"/>
  <c r="D713" i="16"/>
  <c r="G713" i="16"/>
  <c r="G368" i="16"/>
  <c r="J368" i="16"/>
  <c r="E368" i="16"/>
  <c r="H325" i="16"/>
  <c r="J325" i="16"/>
  <c r="I325" i="16"/>
  <c r="E325" i="16"/>
  <c r="D296" i="16"/>
  <c r="G296" i="16"/>
  <c r="H296" i="16"/>
  <c r="E296" i="16"/>
  <c r="I296" i="16"/>
  <c r="F296" i="16"/>
  <c r="F293" i="16"/>
  <c r="Y280" i="16"/>
  <c r="E336" i="16"/>
  <c r="I336" i="16"/>
  <c r="G436" i="16"/>
  <c r="I776" i="16"/>
  <c r="G1240" i="16"/>
  <c r="D738" i="16"/>
  <c r="H834" i="16"/>
  <c r="E834" i="16"/>
  <c r="F452" i="16"/>
  <c r="J703" i="16"/>
  <c r="E987" i="16"/>
  <c r="E722" i="16"/>
  <c r="D452" i="16"/>
  <c r="I392" i="16"/>
  <c r="I306" i="16"/>
  <c r="D1012" i="16"/>
  <c r="G995" i="16"/>
  <c r="H995" i="16"/>
  <c r="J296" i="16"/>
  <c r="H922" i="16"/>
  <c r="G922" i="16"/>
  <c r="E922" i="16"/>
  <c r="I922" i="16"/>
  <c r="I1190" i="16"/>
  <c r="J1190" i="16"/>
  <c r="G1190" i="16"/>
  <c r="D1190" i="16"/>
  <c r="G1105" i="16"/>
  <c r="I1105" i="16"/>
  <c r="F1105" i="16"/>
  <c r="D1105" i="16"/>
  <c r="D1124" i="16"/>
  <c r="J1124" i="16"/>
  <c r="F1124" i="16"/>
  <c r="E1283" i="16"/>
  <c r="I1283" i="16"/>
  <c r="J1283" i="16"/>
  <c r="H1283" i="16"/>
  <c r="F969" i="16"/>
  <c r="E969" i="16"/>
  <c r="J812" i="16"/>
  <c r="E812" i="16"/>
  <c r="G812" i="16"/>
  <c r="D812" i="16"/>
  <c r="I812" i="16"/>
  <c r="F812" i="16"/>
  <c r="F890" i="16"/>
  <c r="H890" i="16"/>
  <c r="J745" i="16"/>
  <c r="F745" i="16"/>
  <c r="D745" i="16"/>
  <c r="I496" i="16"/>
  <c r="E516" i="16"/>
  <c r="J516" i="16"/>
  <c r="G359" i="16"/>
  <c r="E359" i="16"/>
  <c r="F359" i="16"/>
  <c r="I359" i="16"/>
  <c r="D359" i="16"/>
  <c r="I537" i="16"/>
  <c r="J537" i="16"/>
  <c r="F537" i="16"/>
  <c r="E537" i="16"/>
  <c r="F680" i="16"/>
  <c r="H680" i="16"/>
  <c r="J680" i="16"/>
  <c r="J1128" i="16"/>
  <c r="F1128" i="16"/>
  <c r="D472" i="16"/>
  <c r="J444" i="16"/>
  <c r="F444" i="16"/>
  <c r="E444" i="16"/>
  <c r="H444" i="16"/>
  <c r="I484" i="16"/>
  <c r="D484" i="16"/>
  <c r="J484" i="16"/>
  <c r="G484" i="16"/>
  <c r="D503" i="16"/>
  <c r="J503" i="16"/>
  <c r="F503" i="16"/>
  <c r="E503" i="16"/>
  <c r="F1013" i="16"/>
  <c r="I1013" i="16"/>
  <c r="G1013" i="16"/>
  <c r="D1013" i="16"/>
  <c r="H1237" i="16"/>
  <c r="G1237" i="16"/>
  <c r="E1237" i="16"/>
  <c r="F512" i="16"/>
  <c r="I512" i="16"/>
  <c r="G512" i="16"/>
  <c r="E512" i="16"/>
  <c r="G1260" i="16"/>
  <c r="D1260" i="16"/>
  <c r="I1260" i="16"/>
  <c r="E1260" i="16"/>
  <c r="F864" i="16"/>
  <c r="J864" i="16"/>
  <c r="I864" i="16"/>
  <c r="G864" i="16"/>
  <c r="E864" i="16"/>
  <c r="D864" i="16"/>
  <c r="F1048" i="16"/>
  <c r="G576" i="16"/>
  <c r="J576" i="16"/>
  <c r="F576" i="16"/>
  <c r="D576" i="16"/>
  <c r="G325" i="16"/>
  <c r="H368" i="16"/>
  <c r="G396" i="16"/>
  <c r="E396" i="16"/>
  <c r="J396" i="16"/>
  <c r="I396" i="16"/>
  <c r="E605" i="16"/>
  <c r="I605" i="16"/>
  <c r="J1037" i="16"/>
  <c r="D564" i="16"/>
  <c r="E564" i="16"/>
  <c r="H295" i="16"/>
  <c r="G295" i="16"/>
  <c r="D295" i="16"/>
  <c r="J295" i="16"/>
  <c r="D714" i="16"/>
  <c r="G714" i="16"/>
  <c r="E714" i="16"/>
  <c r="J714" i="16"/>
  <c r="F714" i="16"/>
  <c r="E383" i="16"/>
  <c r="J383" i="16"/>
  <c r="F383" i="16"/>
  <c r="I383" i="16"/>
  <c r="I362" i="16"/>
  <c r="E362" i="16"/>
  <c r="G362" i="16"/>
  <c r="D362" i="16"/>
  <c r="J362" i="16"/>
  <c r="H362" i="16"/>
  <c r="E355" i="16"/>
  <c r="D355" i="16"/>
  <c r="I355" i="16"/>
  <c r="J355" i="16"/>
  <c r="H355" i="16"/>
  <c r="G355" i="16"/>
  <c r="D320" i="16"/>
  <c r="F320" i="16"/>
  <c r="G320" i="16"/>
  <c r="I320" i="16"/>
  <c r="E320" i="16"/>
  <c r="G304" i="16"/>
  <c r="D304" i="16"/>
  <c r="H304" i="16"/>
  <c r="J304" i="16"/>
  <c r="F304" i="16"/>
  <c r="F301" i="16"/>
  <c r="H301" i="16"/>
  <c r="J301" i="16"/>
  <c r="E301" i="16"/>
  <c r="G301" i="16"/>
  <c r="I301" i="16"/>
  <c r="D301" i="16"/>
  <c r="H285" i="16"/>
  <c r="G285" i="16"/>
  <c r="I285" i="16"/>
  <c r="E581" i="16"/>
  <c r="H581" i="16"/>
  <c r="G708" i="16"/>
  <c r="F708" i="16"/>
  <c r="E708" i="16"/>
  <c r="H708" i="16"/>
  <c r="H1082" i="16"/>
  <c r="I1082" i="16"/>
  <c r="E1286" i="16"/>
  <c r="I1286" i="16"/>
  <c r="J1286" i="16"/>
  <c r="G1286" i="16"/>
  <c r="J841" i="16"/>
  <c r="F841" i="16"/>
  <c r="E1061" i="16"/>
  <c r="J1061" i="16"/>
  <c r="H1061" i="16"/>
  <c r="E1269" i="16"/>
  <c r="J1269" i="16"/>
  <c r="F1269" i="16"/>
  <c r="I1269" i="16"/>
  <c r="H1269" i="16"/>
  <c r="F647" i="16"/>
  <c r="E647" i="16"/>
  <c r="J647" i="16"/>
  <c r="H647" i="16"/>
  <c r="G466" i="16"/>
  <c r="F445" i="16"/>
  <c r="H445" i="16"/>
  <c r="I928" i="16"/>
  <c r="J928" i="16"/>
  <c r="G928" i="16"/>
  <c r="D385" i="16"/>
  <c r="I385" i="16"/>
  <c r="E385" i="16"/>
  <c r="H906" i="16"/>
  <c r="I906" i="16"/>
  <c r="E1005" i="16"/>
  <c r="H1005" i="16"/>
  <c r="E1021" i="16"/>
  <c r="D1021" i="16"/>
  <c r="I1021" i="16"/>
  <c r="F1021" i="16"/>
  <c r="J1282" i="16"/>
  <c r="D1282" i="16"/>
  <c r="G1282" i="16"/>
  <c r="H449" i="16"/>
  <c r="J449" i="16"/>
  <c r="E843" i="16"/>
  <c r="I843" i="16"/>
  <c r="Y1134" i="16"/>
  <c r="Y592" i="16"/>
  <c r="Y1060" i="16"/>
  <c r="Y916" i="16"/>
  <c r="Y765" i="16"/>
  <c r="Y1258" i="16"/>
  <c r="Y704" i="16"/>
  <c r="Y659" i="16"/>
  <c r="Y444" i="16"/>
  <c r="Y261" i="16"/>
  <c r="D720" i="16"/>
  <c r="F720" i="16"/>
  <c r="H720" i="16"/>
  <c r="J1024" i="16"/>
  <c r="H1024" i="16"/>
  <c r="D1024" i="16"/>
  <c r="I1024" i="16"/>
  <c r="E641" i="16"/>
  <c r="J641" i="16"/>
  <c r="H641" i="16"/>
  <c r="H649" i="16"/>
  <c r="I649" i="16"/>
  <c r="F649" i="16"/>
  <c r="J772" i="16"/>
  <c r="F772" i="16"/>
  <c r="H772" i="16"/>
  <c r="E772" i="16"/>
  <c r="D896" i="16"/>
  <c r="J896" i="16"/>
  <c r="F1152" i="16"/>
  <c r="H1152" i="16"/>
  <c r="F559" i="16"/>
  <c r="G559" i="16"/>
  <c r="E559" i="16"/>
  <c r="F1100" i="16"/>
  <c r="F800" i="16"/>
  <c r="J800" i="16"/>
  <c r="D882" i="16"/>
  <c r="J882" i="16"/>
  <c r="H882" i="16"/>
  <c r="I1114" i="16"/>
  <c r="F1114" i="16"/>
  <c r="H1177" i="16"/>
  <c r="D1177" i="16"/>
  <c r="E1177" i="16"/>
  <c r="I1177" i="16"/>
  <c r="F279" i="16"/>
  <c r="H279" i="16"/>
  <c r="D279" i="16"/>
  <c r="I450" i="16"/>
  <c r="J450" i="16"/>
  <c r="H450" i="16"/>
  <c r="D450" i="16"/>
  <c r="G872" i="16"/>
  <c r="I872" i="16"/>
  <c r="F1003" i="16"/>
  <c r="H1003" i="16"/>
  <c r="E1003" i="16"/>
  <c r="G1003" i="16"/>
  <c r="G292" i="16"/>
  <c r="E292" i="16"/>
  <c r="I292" i="16"/>
  <c r="H292" i="16"/>
  <c r="I896" i="16"/>
  <c r="G772" i="16"/>
  <c r="G1020" i="16"/>
  <c r="E649" i="16"/>
  <c r="F641" i="16"/>
  <c r="G895" i="16"/>
  <c r="E720" i="16"/>
  <c r="F450" i="16"/>
  <c r="J279" i="16"/>
  <c r="F882" i="16"/>
  <c r="G1177" i="16"/>
  <c r="J1114" i="16"/>
  <c r="I1003" i="16"/>
  <c r="E279" i="16"/>
  <c r="D1100" i="16"/>
  <c r="H540" i="16"/>
  <c r="J540" i="16"/>
  <c r="I1012" i="16"/>
  <c r="F436" i="16"/>
  <c r="H436" i="16"/>
  <c r="F458" i="16"/>
  <c r="I458" i="16"/>
  <c r="F332" i="16"/>
  <c r="E332" i="16"/>
  <c r="I332" i="16"/>
  <c r="J332" i="16"/>
  <c r="D340" i="16"/>
  <c r="F340" i="16"/>
  <c r="I426" i="16"/>
  <c r="D426" i="16"/>
  <c r="J369" i="16"/>
  <c r="G384" i="16"/>
  <c r="G650" i="16"/>
  <c r="F650" i="16"/>
  <c r="E650" i="16"/>
  <c r="J650" i="16"/>
  <c r="H673" i="16"/>
  <c r="I673" i="16"/>
  <c r="E784" i="16"/>
  <c r="D784" i="16"/>
  <c r="H784" i="16"/>
  <c r="F292" i="16"/>
  <c r="G450" i="16"/>
  <c r="I428" i="16"/>
  <c r="I1185" i="16"/>
  <c r="H1185" i="16"/>
  <c r="J1185" i="16"/>
  <c r="D1185" i="16"/>
  <c r="F1185" i="16"/>
  <c r="D417" i="16"/>
  <c r="J417" i="16"/>
  <c r="I417" i="16"/>
  <c r="H417" i="16"/>
  <c r="F529" i="16"/>
  <c r="E529" i="16"/>
  <c r="J529" i="16"/>
  <c r="H529" i="16"/>
  <c r="G529" i="16"/>
  <c r="D529" i="16"/>
  <c r="H589" i="16"/>
  <c r="J589" i="16"/>
  <c r="D589" i="16"/>
  <c r="I589" i="16"/>
  <c r="E589" i="16"/>
  <c r="I700" i="16"/>
  <c r="J700" i="16"/>
  <c r="D700" i="16"/>
  <c r="G700" i="16"/>
  <c r="F700" i="16"/>
  <c r="E1011" i="16"/>
  <c r="H1011" i="16"/>
  <c r="G1235" i="16"/>
  <c r="F1235" i="16"/>
  <c r="E1235" i="16"/>
  <c r="J1235" i="16"/>
  <c r="H1235" i="16"/>
  <c r="I583" i="16"/>
  <c r="G583" i="16"/>
  <c r="F583" i="16"/>
  <c r="J583" i="16"/>
  <c r="F939" i="16"/>
  <c r="H939" i="16"/>
  <c r="E939" i="16"/>
  <c r="J939" i="16"/>
  <c r="I939" i="16"/>
  <c r="G939" i="16"/>
  <c r="G955" i="16"/>
  <c r="J955" i="16"/>
  <c r="E955" i="16"/>
  <c r="D955" i="16"/>
  <c r="D891" i="16"/>
  <c r="G891" i="16"/>
  <c r="H891" i="16"/>
  <c r="D939" i="16"/>
  <c r="E896" i="16"/>
  <c r="I772" i="16"/>
  <c r="F1024" i="16"/>
  <c r="I340" i="16"/>
  <c r="D332" i="16"/>
  <c r="I436" i="16"/>
  <c r="J395" i="16"/>
  <c r="J649" i="16"/>
  <c r="G720" i="16"/>
  <c r="E426" i="16"/>
  <c r="E416" i="16"/>
  <c r="E882" i="16"/>
  <c r="F872" i="16"/>
  <c r="J1177" i="16"/>
  <c r="E1114" i="16"/>
  <c r="I650" i="16"/>
  <c r="J1003" i="16"/>
  <c r="I1100" i="16"/>
  <c r="J1012" i="16"/>
  <c r="E700" i="16"/>
  <c r="F1012" i="16"/>
  <c r="E891" i="16"/>
  <c r="G1188" i="16"/>
  <c r="I1188" i="16"/>
  <c r="E1277" i="16"/>
  <c r="I1277" i="16"/>
  <c r="D1277" i="16"/>
  <c r="J1277" i="16"/>
  <c r="E1185" i="16"/>
  <c r="H635" i="16"/>
  <c r="I635" i="16"/>
  <c r="G692" i="16"/>
  <c r="E692" i="16"/>
  <c r="D692" i="16"/>
  <c r="J692" i="16"/>
  <c r="G699" i="16"/>
  <c r="F699" i="16"/>
  <c r="I699" i="16"/>
  <c r="J1011" i="16"/>
  <c r="I529" i="16"/>
  <c r="I564" i="16"/>
  <c r="F564" i="16"/>
  <c r="H564" i="16"/>
  <c r="J564" i="16"/>
  <c r="E345" i="16"/>
  <c r="J345" i="16"/>
  <c r="F584" i="16"/>
  <c r="E584" i="16"/>
  <c r="I584" i="16"/>
  <c r="H584" i="16"/>
  <c r="J584" i="16"/>
  <c r="G1277" i="16"/>
  <c r="G426" i="16"/>
  <c r="F896" i="16"/>
  <c r="D772" i="16"/>
  <c r="G1024" i="16"/>
  <c r="J340" i="16"/>
  <c r="H332" i="16"/>
  <c r="I559" i="16"/>
  <c r="D436" i="16"/>
  <c r="I641" i="16"/>
  <c r="J720" i="16"/>
  <c r="F540" i="16"/>
  <c r="E988" i="16"/>
  <c r="F965" i="16"/>
  <c r="I882" i="16"/>
  <c r="E872" i="16"/>
  <c r="F1177" i="16"/>
  <c r="H1114" i="16"/>
  <c r="H699" i="16"/>
  <c r="I692" i="16"/>
  <c r="H650" i="16"/>
  <c r="J428" i="16"/>
  <c r="J784" i="16"/>
  <c r="H700" i="16"/>
  <c r="G641" i="16"/>
  <c r="G649" i="16"/>
  <c r="J752" i="16"/>
  <c r="I752" i="16"/>
  <c r="F752" i="16"/>
  <c r="G752" i="16"/>
  <c r="G896" i="16"/>
  <c r="I904" i="16"/>
  <c r="D904" i="16"/>
  <c r="F904" i="16"/>
  <c r="G1012" i="16"/>
  <c r="I891" i="16"/>
  <c r="J891" i="16"/>
  <c r="G1184" i="16"/>
  <c r="D1184" i="16"/>
  <c r="I1184" i="16"/>
  <c r="F1184" i="16"/>
  <c r="D1243" i="16"/>
  <c r="I1243" i="16"/>
  <c r="I319" i="16"/>
  <c r="J319" i="16"/>
  <c r="G319" i="16"/>
  <c r="G1114" i="16"/>
  <c r="E840" i="16"/>
  <c r="D840" i="16"/>
  <c r="H840" i="16"/>
  <c r="F840" i="16"/>
  <c r="I852" i="16"/>
  <c r="D852" i="16"/>
  <c r="E852" i="16"/>
  <c r="J852" i="16"/>
  <c r="G965" i="16"/>
  <c r="H1012" i="16"/>
  <c r="F417" i="16"/>
  <c r="F1182" i="16"/>
  <c r="E1182" i="16"/>
  <c r="J1182" i="16"/>
  <c r="G1137" i="16"/>
  <c r="I1137" i="16"/>
  <c r="F1137" i="16"/>
  <c r="D1261" i="16"/>
  <c r="I1261" i="16"/>
  <c r="E1261" i="16"/>
  <c r="F1261" i="16"/>
  <c r="H1261" i="16"/>
  <c r="G400" i="16"/>
  <c r="E400" i="16"/>
  <c r="J400" i="16"/>
  <c r="H400" i="16"/>
  <c r="J1153" i="16"/>
  <c r="G1153" i="16"/>
  <c r="E1153" i="16"/>
  <c r="G1146" i="16"/>
  <c r="H1146" i="16"/>
  <c r="F1146" i="16"/>
  <c r="I1146" i="16"/>
  <c r="D1146" i="16"/>
  <c r="E1146" i="16"/>
  <c r="F562" i="16"/>
  <c r="G562" i="16"/>
  <c r="H562" i="16"/>
  <c r="J562" i="16"/>
  <c r="D562" i="16"/>
  <c r="I562" i="16"/>
  <c r="J1042" i="16"/>
  <c r="E1042" i="16"/>
  <c r="I1042" i="16"/>
  <c r="H1042" i="16"/>
  <c r="F1042" i="16"/>
  <c r="G1042" i="16"/>
  <c r="G907" i="16"/>
  <c r="H907" i="16"/>
  <c r="I907" i="16"/>
  <c r="J907" i="16"/>
  <c r="D907" i="16"/>
  <c r="F907" i="16"/>
  <c r="G1180" i="16"/>
  <c r="F1180" i="16"/>
  <c r="J1180" i="16"/>
  <c r="D1180" i="16"/>
  <c r="D453" i="16"/>
  <c r="G453" i="16"/>
  <c r="J453" i="16"/>
  <c r="F453" i="16"/>
  <c r="I453" i="16"/>
  <c r="E453" i="16"/>
  <c r="H1045" i="16"/>
  <c r="I1045" i="16"/>
  <c r="J1045" i="16"/>
  <c r="I1117" i="16"/>
  <c r="H1117" i="16"/>
  <c r="G664" i="16"/>
  <c r="H664" i="16"/>
  <c r="E946" i="16"/>
  <c r="H946" i="16"/>
  <c r="D1048" i="16"/>
  <c r="E1048" i="16"/>
  <c r="G405" i="16"/>
  <c r="F405" i="16"/>
  <c r="J405" i="16"/>
  <c r="F725" i="16"/>
  <c r="D725" i="16"/>
  <c r="E725" i="16"/>
  <c r="J725" i="16"/>
  <c r="E956" i="16"/>
  <c r="G956" i="16"/>
  <c r="I1036" i="16"/>
  <c r="H1036" i="16"/>
  <c r="J467" i="16"/>
  <c r="H467" i="16"/>
  <c r="I908" i="16"/>
  <c r="F908" i="16"/>
  <c r="H789" i="16"/>
  <c r="J789" i="16"/>
  <c r="E789" i="16"/>
  <c r="H568" i="16"/>
  <c r="I568" i="16"/>
  <c r="E568" i="16"/>
  <c r="H517" i="16"/>
  <c r="I467" i="16"/>
  <c r="F517" i="16"/>
  <c r="D1080" i="16"/>
  <c r="I1048" i="16"/>
  <c r="H811" i="16"/>
  <c r="J908" i="16"/>
  <c r="H1129" i="16"/>
  <c r="D811" i="16"/>
  <c r="E1036" i="16"/>
  <c r="D1242" i="16"/>
  <c r="D789" i="16"/>
  <c r="D313" i="16"/>
  <c r="E1025" i="16"/>
  <c r="F423" i="16"/>
  <c r="H737" i="16"/>
  <c r="F811" i="16"/>
  <c r="J811" i="16"/>
  <c r="H1048" i="16"/>
  <c r="H969" i="16"/>
  <c r="J737" i="16"/>
  <c r="I333" i="16"/>
  <c r="H725" i="16"/>
  <c r="H360" i="16"/>
  <c r="F1129" i="16"/>
  <c r="D908" i="16"/>
  <c r="I1242" i="16"/>
  <c r="F1036" i="16"/>
  <c r="J1036" i="16"/>
  <c r="G536" i="16"/>
  <c r="D956" i="16"/>
  <c r="F865" i="16"/>
  <c r="I536" i="16"/>
  <c r="F360" i="16"/>
  <c r="F664" i="16"/>
  <c r="F568" i="16"/>
  <c r="F467" i="16"/>
  <c r="E1148" i="16"/>
  <c r="H1148" i="16"/>
  <c r="F655" i="16"/>
  <c r="G467" i="16"/>
  <c r="G823" i="16"/>
  <c r="D1272" i="16"/>
  <c r="E1268" i="16"/>
  <c r="J1287" i="16"/>
  <c r="J610" i="16"/>
  <c r="J1240" i="16"/>
  <c r="E848" i="16"/>
  <c r="F303" i="16"/>
  <c r="I517" i="16"/>
  <c r="I1148" i="16"/>
  <c r="H908" i="16"/>
  <c r="G811" i="16"/>
  <c r="E1242" i="16"/>
  <c r="G789" i="16"/>
  <c r="G865" i="16"/>
  <c r="I946" i="16"/>
  <c r="H1022" i="16"/>
  <c r="G1048" i="16"/>
  <c r="D946" i="16"/>
  <c r="G969" i="16"/>
  <c r="J969" i="16"/>
  <c r="J778" i="16"/>
  <c r="F333" i="16"/>
  <c r="G725" i="16"/>
  <c r="G1242" i="16"/>
  <c r="F956" i="16"/>
  <c r="E664" i="16"/>
  <c r="D568" i="16"/>
  <c r="E467" i="16"/>
  <c r="G549" i="16"/>
  <c r="H553" i="16"/>
  <c r="E553" i="16"/>
  <c r="D553" i="16"/>
  <c r="I553" i="16"/>
  <c r="H605" i="16"/>
  <c r="F605" i="16"/>
  <c r="I687" i="16"/>
  <c r="H687" i="16"/>
  <c r="E1002" i="16"/>
  <c r="J1002" i="16"/>
  <c r="F1053" i="16"/>
  <c r="J1053" i="16"/>
  <c r="H1053" i="16"/>
  <c r="J488" i="16"/>
  <c r="F488" i="16"/>
  <c r="I488" i="16"/>
  <c r="D729" i="16"/>
  <c r="I729" i="16"/>
  <c r="I914" i="16"/>
  <c r="F914" i="16"/>
  <c r="G516" i="16"/>
  <c r="H516" i="16"/>
  <c r="D1125" i="16"/>
  <c r="H1125" i="16"/>
  <c r="F1125" i="16"/>
  <c r="E1256" i="16"/>
  <c r="G1256" i="16"/>
  <c r="F1256" i="16"/>
  <c r="E264" i="16"/>
  <c r="D264" i="16"/>
  <c r="I264" i="16"/>
  <c r="D897" i="16"/>
  <c r="G897" i="16"/>
  <c r="E841" i="16"/>
  <c r="D841" i="16"/>
  <c r="G841" i="16"/>
  <c r="I841" i="16"/>
  <c r="H841" i="16"/>
  <c r="D561" i="16"/>
  <c r="G561" i="16"/>
  <c r="H561" i="16"/>
  <c r="F801" i="16"/>
  <c r="G801" i="16"/>
  <c r="F1057" i="16"/>
  <c r="D1057" i="16"/>
  <c r="I1057" i="16"/>
  <c r="G1057" i="16"/>
  <c r="J1057" i="16"/>
  <c r="E1274" i="16"/>
  <c r="I1274" i="16"/>
  <c r="F1274" i="16"/>
  <c r="G351" i="16"/>
  <c r="E351" i="16"/>
  <c r="F755" i="16"/>
  <c r="H755" i="16"/>
  <c r="E733" i="16"/>
  <c r="D733" i="16"/>
  <c r="I733" i="16"/>
  <c r="E644" i="16"/>
  <c r="H644" i="16"/>
  <c r="F1019" i="16"/>
  <c r="E1019" i="16"/>
  <c r="D1019" i="16"/>
  <c r="D322" i="16"/>
  <c r="H322" i="16"/>
  <c r="F570" i="16"/>
  <c r="I570" i="16"/>
  <c r="I491" i="16"/>
  <c r="J491" i="16"/>
  <c r="E546" i="16"/>
  <c r="F546" i="16"/>
  <c r="E1006" i="16"/>
  <c r="G1006" i="16"/>
  <c r="H1006" i="16"/>
  <c r="I1058" i="16"/>
  <c r="J394" i="16"/>
  <c r="E394" i="16"/>
  <c r="D394" i="16"/>
  <c r="J431" i="16"/>
  <c r="G431" i="16"/>
  <c r="H431" i="16"/>
  <c r="D431" i="16"/>
  <c r="I431" i="16"/>
  <c r="H879" i="16"/>
  <c r="F879" i="16"/>
  <c r="G1252" i="16"/>
  <c r="I1252" i="16"/>
  <c r="J820" i="16"/>
  <c r="D820" i="16"/>
  <c r="D1257" i="16"/>
  <c r="I1257" i="16"/>
  <c r="H1196" i="16"/>
  <c r="D1196" i="16"/>
  <c r="F538" i="16"/>
  <c r="E538" i="16"/>
  <c r="F719" i="16"/>
  <c r="H719" i="16"/>
  <c r="E719" i="16"/>
  <c r="F1085" i="16"/>
  <c r="E1085" i="16"/>
  <c r="I1085" i="16"/>
  <c r="H905" i="16"/>
  <c r="E905" i="16"/>
  <c r="F663" i="16"/>
  <c r="E663" i="16"/>
  <c r="F581" i="16"/>
  <c r="G581" i="16"/>
  <c r="D1194" i="16"/>
  <c r="I1194" i="16"/>
  <c r="D603" i="16"/>
  <c r="H603" i="16"/>
  <c r="E372" i="16"/>
  <c r="H372" i="16"/>
  <c r="H1172" i="16"/>
  <c r="J1172" i="16"/>
  <c r="G593" i="16"/>
  <c r="D593" i="16"/>
  <c r="E593" i="16"/>
  <c r="J888" i="16"/>
  <c r="I888" i="16"/>
  <c r="G888" i="16"/>
  <c r="E290" i="16"/>
  <c r="J290" i="16"/>
  <c r="J460" i="16"/>
  <c r="D460" i="16"/>
  <c r="H460" i="16"/>
  <c r="I507" i="16"/>
  <c r="D507" i="16"/>
  <c r="D618" i="16"/>
  <c r="G618" i="16"/>
  <c r="I966" i="16"/>
  <c r="D966" i="16"/>
  <c r="I935" i="16"/>
  <c r="D883" i="16"/>
  <c r="G883" i="16"/>
  <c r="I368" i="16"/>
  <c r="F368" i="16"/>
  <c r="D368" i="16"/>
  <c r="F325" i="16"/>
  <c r="D325" i="16"/>
  <c r="G322" i="16"/>
  <c r="G284" i="16"/>
  <c r="Y272" i="16"/>
  <c r="S272" i="16"/>
  <c r="I272" i="16" s="1"/>
  <c r="F1084" i="16"/>
  <c r="D1084" i="16"/>
  <c r="D898" i="16"/>
  <c r="G898" i="16"/>
  <c r="S837" i="16"/>
  <c r="Y786" i="16"/>
  <c r="S786" i="16"/>
  <c r="E786" i="16" s="1"/>
  <c r="S712" i="16"/>
  <c r="G712" i="16" s="1"/>
  <c r="Y712" i="16"/>
  <c r="S505" i="16"/>
  <c r="Y505" i="16"/>
  <c r="S441" i="16"/>
  <c r="G441" i="16" s="1"/>
  <c r="Y441" i="16"/>
  <c r="S353" i="16"/>
  <c r="Y353" i="16"/>
  <c r="Y1042" i="16"/>
  <c r="Y805" i="16"/>
  <c r="Y721" i="16"/>
  <c r="Y651" i="16"/>
  <c r="Y448" i="16"/>
  <c r="S757" i="16"/>
  <c r="D757" i="16" s="1"/>
  <c r="Y757" i="16"/>
  <c r="Y1067" i="16"/>
  <c r="Y837" i="16"/>
  <c r="Y501" i="16"/>
  <c r="S1178" i="16"/>
  <c r="Y1178" i="16"/>
  <c r="Y1202" i="16"/>
  <c r="Y1198" i="16"/>
  <c r="Y723" i="16"/>
  <c r="Y329" i="16"/>
  <c r="S1224" i="16"/>
  <c r="G1224" i="16" s="1"/>
  <c r="E304" i="16"/>
  <c r="I304" i="16"/>
  <c r="Y1002" i="16"/>
  <c r="Y809" i="16"/>
  <c r="Y761" i="16"/>
  <c r="Y512" i="16"/>
  <c r="Y349" i="16"/>
  <c r="S498" i="16"/>
  <c r="I498" i="16" s="1"/>
  <c r="Y498" i="16"/>
  <c r="Y301" i="16"/>
  <c r="D285" i="16"/>
  <c r="E285" i="16"/>
  <c r="Y1154" i="16"/>
  <c r="Y1066" i="16"/>
  <c r="Y1026" i="16"/>
  <c r="Y1006" i="16"/>
  <c r="Y909" i="16"/>
  <c r="Y517" i="16"/>
  <c r="Y469" i="16"/>
  <c r="Y405" i="16"/>
  <c r="H492" i="16"/>
  <c r="F492" i="16"/>
  <c r="E492" i="16"/>
  <c r="G492" i="16"/>
  <c r="D567" i="16"/>
  <c r="F567" i="16"/>
  <c r="G567" i="16"/>
  <c r="J1272" i="16"/>
  <c r="H575" i="16"/>
  <c r="D492" i="16"/>
  <c r="D1020" i="16"/>
  <c r="F1020" i="16"/>
  <c r="D919" i="16"/>
  <c r="E1074" i="16"/>
  <c r="J1152" i="16"/>
  <c r="D1152" i="16"/>
  <c r="E1152" i="16"/>
  <c r="E458" i="16"/>
  <c r="G458" i="16"/>
  <c r="G1272" i="16"/>
  <c r="F624" i="16"/>
  <c r="G624" i="16"/>
  <c r="I624" i="16"/>
  <c r="H624" i="16"/>
  <c r="G315" i="16"/>
  <c r="I315" i="16"/>
  <c r="E315" i="16"/>
  <c r="F315" i="16"/>
  <c r="J331" i="16"/>
  <c r="G707" i="16"/>
  <c r="I707" i="16"/>
  <c r="I807" i="16"/>
  <c r="G818" i="16"/>
  <c r="D420" i="16"/>
  <c r="G420" i="16"/>
  <c r="H420" i="16"/>
  <c r="E420" i="16"/>
  <c r="G880" i="16"/>
  <c r="F880" i="16"/>
  <c r="I880" i="16"/>
  <c r="H880" i="16"/>
  <c r="G592" i="16"/>
  <c r="H592" i="16"/>
  <c r="D592" i="16"/>
  <c r="I592" i="16"/>
  <c r="F592" i="16"/>
  <c r="J592" i="16"/>
  <c r="H371" i="16"/>
  <c r="I931" i="16"/>
  <c r="G931" i="16"/>
  <c r="E931" i="16"/>
  <c r="J931" i="16"/>
  <c r="D931" i="16"/>
  <c r="H931" i="16"/>
  <c r="F931" i="16"/>
  <c r="D287" i="16"/>
  <c r="H1285" i="16"/>
  <c r="J1285" i="16"/>
  <c r="I1285" i="16"/>
  <c r="F1285" i="16"/>
  <c r="F1147" i="16"/>
  <c r="D1147" i="16"/>
  <c r="H1147" i="16"/>
  <c r="E1147" i="16"/>
  <c r="J1147" i="16"/>
  <c r="E919" i="16"/>
  <c r="J567" i="16"/>
  <c r="E1272" i="16"/>
  <c r="I1272" i="16"/>
  <c r="H1020" i="16"/>
  <c r="I1020" i="16"/>
  <c r="J458" i="16"/>
  <c r="G1152" i="16"/>
  <c r="D540" i="16"/>
  <c r="I1152" i="16"/>
  <c r="J880" i="16"/>
  <c r="G673" i="16"/>
  <c r="J624" i="16"/>
  <c r="D673" i="16"/>
  <c r="H315" i="16"/>
  <c r="F420" i="16"/>
  <c r="H707" i="16"/>
  <c r="J440" i="16"/>
  <c r="D617" i="16"/>
  <c r="E617" i="16"/>
  <c r="G765" i="16"/>
  <c r="H765" i="16"/>
  <c r="J765" i="16"/>
  <c r="J780" i="16"/>
  <c r="F780" i="16"/>
  <c r="D624" i="16"/>
  <c r="J543" i="16"/>
  <c r="H426" i="16"/>
  <c r="F426" i="16"/>
  <c r="D299" i="16"/>
  <c r="H452" i="16"/>
  <c r="E452" i="16"/>
  <c r="G452" i="16"/>
  <c r="G424" i="16"/>
  <c r="I424" i="16"/>
  <c r="E424" i="16"/>
  <c r="D424" i="16"/>
  <c r="J844" i="16"/>
  <c r="H844" i="16"/>
  <c r="F844" i="16"/>
  <c r="D506" i="16"/>
  <c r="E1228" i="16"/>
  <c r="D1228" i="16"/>
  <c r="I1228" i="16"/>
  <c r="H1228" i="16"/>
  <c r="G1228" i="16"/>
  <c r="J1228" i="16"/>
  <c r="G266" i="16"/>
  <c r="E266" i="16"/>
  <c r="H266" i="16"/>
  <c r="J266" i="16"/>
  <c r="H345" i="16"/>
  <c r="G345" i="16"/>
  <c r="F345" i="16"/>
  <c r="G409" i="16"/>
  <c r="J409" i="16"/>
  <c r="H409" i="16"/>
  <c r="I409" i="16"/>
  <c r="D409" i="16"/>
  <c r="D658" i="16"/>
  <c r="H658" i="16"/>
  <c r="G658" i="16"/>
  <c r="E673" i="16"/>
  <c r="J673" i="16"/>
  <c r="F673" i="16"/>
  <c r="E738" i="16"/>
  <c r="I738" i="16"/>
  <c r="F738" i="16"/>
  <c r="J818" i="16"/>
  <c r="H818" i="16"/>
  <c r="D818" i="16"/>
  <c r="G1173" i="16"/>
  <c r="H1173" i="16"/>
  <c r="E1173" i="16"/>
  <c r="I1173" i="16"/>
  <c r="G416" i="16"/>
  <c r="H416" i="16"/>
  <c r="J416" i="16"/>
  <c r="E954" i="16"/>
  <c r="I954" i="16"/>
  <c r="H954" i="16"/>
  <c r="G954" i="16"/>
  <c r="F1160" i="16"/>
  <c r="J1160" i="16"/>
  <c r="F1168" i="16"/>
  <c r="D1168" i="16"/>
  <c r="H1168" i="16"/>
  <c r="G1168" i="16"/>
  <c r="D960" i="16"/>
  <c r="H960" i="16"/>
  <c r="E960" i="16"/>
  <c r="H1000" i="16"/>
  <c r="J1000" i="16"/>
  <c r="F1000" i="16"/>
  <c r="G1000" i="16"/>
  <c r="I1000" i="16"/>
  <c r="D1000" i="16"/>
  <c r="D1200" i="16"/>
  <c r="H1200" i="16"/>
  <c r="E1200" i="16"/>
  <c r="G1200" i="16"/>
  <c r="J1200" i="16"/>
  <c r="H775" i="16"/>
  <c r="J775" i="16"/>
  <c r="F775" i="16"/>
  <c r="G775" i="16"/>
  <c r="E775" i="16"/>
  <c r="I775" i="16"/>
  <c r="F1099" i="16"/>
  <c r="G1099" i="16"/>
  <c r="J1099" i="16"/>
  <c r="D1099" i="16"/>
  <c r="H1099" i="16"/>
  <c r="E1099" i="16"/>
  <c r="F919" i="16"/>
  <c r="I919" i="16"/>
  <c r="I567" i="16"/>
  <c r="H567" i="16"/>
  <c r="F1272" i="16"/>
  <c r="J1020" i="16"/>
  <c r="D458" i="16"/>
  <c r="H458" i="16"/>
  <c r="E540" i="16"/>
  <c r="J492" i="16"/>
  <c r="F818" i="16"/>
  <c r="J738" i="16"/>
  <c r="F658" i="16"/>
  <c r="J1173" i="16"/>
  <c r="D954" i="16"/>
  <c r="E1168" i="16"/>
  <c r="D1160" i="16"/>
  <c r="J707" i="16"/>
  <c r="G1285" i="16"/>
  <c r="G695" i="16"/>
  <c r="E695" i="16"/>
  <c r="H695" i="16"/>
  <c r="J904" i="16"/>
  <c r="E904" i="16"/>
  <c r="G395" i="16"/>
  <c r="I395" i="16"/>
  <c r="F395" i="16"/>
  <c r="D559" i="16"/>
  <c r="H559" i="16"/>
  <c r="G1147" i="16"/>
  <c r="F1200" i="16"/>
  <c r="H1243" i="16"/>
  <c r="E1243" i="16"/>
  <c r="D416" i="16"/>
  <c r="D377" i="16"/>
  <c r="F377" i="16"/>
  <c r="J377" i="16"/>
  <c r="H377" i="16"/>
  <c r="E377" i="16"/>
  <c r="E635" i="16"/>
  <c r="D635" i="16"/>
  <c r="J635" i="16"/>
  <c r="F635" i="16"/>
  <c r="H271" i="16"/>
  <c r="J271" i="16"/>
  <c r="F271" i="16"/>
  <c r="G271" i="16"/>
  <c r="H872" i="16"/>
  <c r="J872" i="16"/>
  <c r="D872" i="16"/>
  <c r="E1000" i="16"/>
  <c r="H1059" i="16"/>
  <c r="I1059" i="16"/>
  <c r="F1059" i="16"/>
  <c r="E1059" i="16"/>
  <c r="J1059" i="16"/>
  <c r="D1059" i="16"/>
  <c r="H1016" i="16"/>
  <c r="J1016" i="16"/>
  <c r="E1016" i="16"/>
  <c r="I1016" i="16"/>
  <c r="E1130" i="16"/>
  <c r="J1130" i="16"/>
  <c r="F1130" i="16"/>
  <c r="D1130" i="16"/>
  <c r="H1130" i="16"/>
  <c r="G1130" i="16"/>
  <c r="I1130" i="16"/>
  <c r="F1283" i="16"/>
  <c r="D1283" i="16"/>
  <c r="G556" i="16"/>
  <c r="J556" i="16"/>
  <c r="D556" i="16"/>
  <c r="F556" i="16"/>
  <c r="E556" i="16"/>
  <c r="I1044" i="16"/>
  <c r="J1044" i="16"/>
  <c r="E1044" i="16"/>
  <c r="G1044" i="16"/>
  <c r="F1044" i="16"/>
  <c r="G328" i="16"/>
  <c r="J328" i="16"/>
  <c r="I328" i="16"/>
  <c r="F328" i="16"/>
  <c r="H328" i="16"/>
  <c r="G679" i="16"/>
  <c r="H679" i="16"/>
  <c r="F679" i="16"/>
  <c r="J679" i="16"/>
  <c r="I679" i="16"/>
  <c r="F1077" i="16"/>
  <c r="J1077" i="16"/>
  <c r="G1077" i="16"/>
  <c r="H1077" i="16"/>
  <c r="D1077" i="16"/>
  <c r="G747" i="16"/>
  <c r="D858" i="16"/>
  <c r="H858" i="16"/>
  <c r="F265" i="16"/>
  <c r="D1045" i="16"/>
  <c r="G1045" i="16"/>
  <c r="E1045" i="16"/>
  <c r="F1045" i="16"/>
  <c r="E1117" i="16"/>
  <c r="F1117" i="16"/>
  <c r="J1117" i="16"/>
  <c r="I625" i="16"/>
  <c r="F625" i="16"/>
  <c r="D625" i="16"/>
  <c r="G1128" i="16"/>
  <c r="E1128" i="16"/>
  <c r="H1128" i="16"/>
  <c r="I1128" i="16"/>
  <c r="D1128" i="16"/>
  <c r="D657" i="16"/>
  <c r="E657" i="16"/>
  <c r="I657" i="16"/>
  <c r="J657" i="16"/>
  <c r="H657" i="16"/>
  <c r="J916" i="16"/>
  <c r="F916" i="16"/>
  <c r="H916" i="16"/>
  <c r="I916" i="16"/>
  <c r="E916" i="16"/>
  <c r="G1080" i="16"/>
  <c r="H1080" i="16"/>
  <c r="F522" i="16"/>
  <c r="H522" i="16"/>
  <c r="G522" i="16"/>
  <c r="G1236" i="16"/>
  <c r="H1236" i="16"/>
  <c r="E1236" i="16"/>
  <c r="F1236" i="16"/>
  <c r="E737" i="16"/>
  <c r="D737" i="16"/>
  <c r="H1182" i="16"/>
  <c r="G1182" i="16"/>
  <c r="F1145" i="16"/>
  <c r="E1145" i="16"/>
  <c r="J1137" i="16"/>
  <c r="E1137" i="16"/>
  <c r="D1137" i="16"/>
  <c r="D697" i="16"/>
  <c r="H697" i="16"/>
  <c r="G545" i="16"/>
  <c r="I545" i="16"/>
  <c r="F667" i="16"/>
  <c r="I667" i="16"/>
  <c r="G777" i="16"/>
  <c r="J777" i="16"/>
  <c r="D343" i="16"/>
  <c r="G343" i="16"/>
  <c r="I1220" i="16"/>
  <c r="H1220" i="16"/>
  <c r="G378" i="16"/>
  <c r="H378" i="16"/>
  <c r="I378" i="16"/>
  <c r="D504" i="16"/>
  <c r="I504" i="16"/>
  <c r="G729" i="16"/>
  <c r="H729" i="16"/>
  <c r="G1248" i="16"/>
  <c r="E1248" i="16"/>
  <c r="F1248" i="16"/>
  <c r="F489" i="16"/>
  <c r="E1121" i="16"/>
  <c r="H1121" i="16"/>
  <c r="J1121" i="16"/>
  <c r="I360" i="16"/>
  <c r="E360" i="16"/>
  <c r="G360" i="16"/>
  <c r="F589" i="16"/>
  <c r="G589" i="16"/>
  <c r="F1066" i="16"/>
  <c r="H1066" i="16"/>
  <c r="I1011" i="16"/>
  <c r="F1011" i="16"/>
  <c r="D1011" i="16"/>
  <c r="G1011" i="16"/>
  <c r="H1026" i="16"/>
  <c r="F1026" i="16"/>
  <c r="D1136" i="16"/>
  <c r="E1136" i="16"/>
  <c r="H1097" i="16"/>
  <c r="D1097" i="16"/>
  <c r="I1097" i="16"/>
  <c r="F1097" i="16"/>
  <c r="E1097" i="16"/>
  <c r="E1075" i="16"/>
  <c r="J1075" i="16"/>
  <c r="D1075" i="16"/>
  <c r="F1075" i="16"/>
  <c r="H1075" i="16"/>
  <c r="H1072" i="16"/>
  <c r="D1065" i="16"/>
  <c r="E1033" i="16"/>
  <c r="J1033" i="16"/>
  <c r="D1033" i="16"/>
  <c r="I1033" i="16"/>
  <c r="H985" i="16"/>
  <c r="I985" i="16"/>
  <c r="F985" i="16"/>
  <c r="E876" i="16"/>
  <c r="D855" i="16"/>
  <c r="E855" i="16"/>
  <c r="J855" i="16"/>
  <c r="I855" i="16"/>
  <c r="F855" i="16"/>
  <c r="I457" i="16"/>
  <c r="G457" i="16"/>
  <c r="D457" i="16"/>
  <c r="E457" i="16"/>
  <c r="H457" i="16"/>
  <c r="G346" i="16"/>
  <c r="I329" i="16"/>
  <c r="F329" i="16"/>
  <c r="H329" i="16"/>
  <c r="G329" i="16"/>
  <c r="E329" i="16"/>
  <c r="J329" i="16"/>
  <c r="D300" i="16"/>
  <c r="G469" i="16"/>
  <c r="D469" i="16"/>
  <c r="G585" i="16"/>
  <c r="D585" i="16"/>
  <c r="F585" i="16"/>
  <c r="F376" i="16"/>
  <c r="E376" i="16"/>
  <c r="H376" i="16"/>
  <c r="H690" i="16"/>
  <c r="J690" i="16"/>
  <c r="I690" i="16"/>
  <c r="F591" i="16"/>
  <c r="G591" i="16"/>
  <c r="J591" i="16"/>
  <c r="F379" i="16"/>
  <c r="J379" i="16"/>
  <c r="F771" i="16"/>
  <c r="F1002" i="16"/>
  <c r="I1002" i="16"/>
  <c r="G333" i="16"/>
  <c r="E333" i="16"/>
  <c r="D292" i="16"/>
  <c r="J292" i="16"/>
  <c r="J291" i="16"/>
  <c r="H291" i="16"/>
  <c r="I291" i="16"/>
  <c r="F1153" i="16"/>
  <c r="H1153" i="16"/>
  <c r="D1153" i="16"/>
  <c r="D732" i="16"/>
  <c r="F732" i="16"/>
  <c r="D755" i="16"/>
  <c r="J755" i="16"/>
  <c r="J709" i="16"/>
  <c r="G709" i="16"/>
  <c r="J733" i="16"/>
  <c r="G733" i="16"/>
  <c r="I745" i="16"/>
  <c r="G745" i="16"/>
  <c r="G820" i="16"/>
  <c r="I820" i="16"/>
  <c r="E820" i="16"/>
  <c r="J513" i="16"/>
  <c r="D513" i="16"/>
  <c r="I513" i="16"/>
  <c r="I1256" i="16"/>
  <c r="H1256" i="16"/>
  <c r="E1082" i="16"/>
  <c r="G1082" i="16"/>
  <c r="D1082" i="16"/>
  <c r="F1260" i="16"/>
  <c r="H1260" i="16"/>
  <c r="G261" i="16"/>
  <c r="D261" i="16"/>
  <c r="H261" i="16"/>
  <c r="I449" i="16"/>
  <c r="G449" i="16"/>
  <c r="F449" i="16"/>
  <c r="E937" i="16"/>
  <c r="F909" i="16"/>
  <c r="H909" i="16"/>
  <c r="J909" i="16"/>
  <c r="I909" i="16"/>
  <c r="E909" i="16"/>
  <c r="E413" i="16"/>
  <c r="J413" i="16"/>
  <c r="F413" i="16"/>
  <c r="G413" i="16"/>
  <c r="D759" i="16"/>
  <c r="I955" i="16"/>
  <c r="F955" i="16"/>
  <c r="D735" i="16"/>
  <c r="F735" i="16"/>
  <c r="I735" i="16"/>
  <c r="G735" i="16"/>
  <c r="F599" i="16"/>
  <c r="H599" i="16"/>
  <c r="G599" i="16"/>
  <c r="G580" i="16"/>
  <c r="J580" i="16"/>
  <c r="H580" i="16"/>
  <c r="I577" i="16"/>
  <c r="F577" i="16"/>
  <c r="J577" i="16"/>
  <c r="E485" i="16"/>
  <c r="H485" i="16"/>
  <c r="D680" i="16"/>
  <c r="G680" i="16"/>
  <c r="I1282" i="16"/>
  <c r="F1282" i="16"/>
  <c r="I1235" i="16"/>
  <c r="D1235" i="16"/>
  <c r="D874" i="16"/>
  <c r="F874" i="16"/>
  <c r="E874" i="16"/>
  <c r="J874" i="16"/>
  <c r="J483" i="16"/>
  <c r="H483" i="16"/>
  <c r="D375" i="16"/>
  <c r="I375" i="16"/>
  <c r="A40" i="2"/>
  <c r="C22" i="3"/>
  <c r="B10" i="3"/>
  <c r="B4" i="3"/>
  <c r="B4" i="4"/>
  <c r="A7" i="2"/>
  <c r="A64" i="2"/>
  <c r="J17" i="10"/>
  <c r="J6" i="10"/>
  <c r="I10" i="10"/>
  <c r="B1001" i="11"/>
  <c r="B13" i="4"/>
  <c r="I6" i="10"/>
  <c r="C6" i="10" s="1"/>
  <c r="I4" i="16"/>
  <c r="I27" i="10"/>
  <c r="A4" i="14"/>
  <c r="B24" i="4"/>
  <c r="B11" i="3"/>
  <c r="A28" i="2"/>
  <c r="J48" i="10"/>
  <c r="J50" i="10"/>
  <c r="I35" i="10"/>
  <c r="N4" i="16"/>
  <c r="I18" i="10"/>
  <c r="I52" i="10"/>
  <c r="I47" i="10"/>
  <c r="B9" i="3"/>
  <c r="A61" i="2"/>
  <c r="I9" i="10"/>
  <c r="J43" i="10"/>
  <c r="B20" i="4"/>
  <c r="A11" i="10" s="1"/>
  <c r="B24" i="3"/>
  <c r="B14" i="3"/>
  <c r="I26" i="10"/>
  <c r="B22" i="3"/>
  <c r="J63" i="10"/>
  <c r="B19" i="3"/>
  <c r="C7" i="3"/>
  <c r="B2" i="3"/>
  <c r="A15" i="2"/>
  <c r="A41" i="2"/>
  <c r="C4" i="16"/>
  <c r="B5" i="11"/>
  <c r="B22" i="4"/>
  <c r="A13" i="10" s="1"/>
  <c r="J51" i="10"/>
  <c r="I50" i="10"/>
  <c r="B26" i="4"/>
  <c r="A15" i="10" s="1"/>
  <c r="D4" i="14"/>
  <c r="A57" i="2"/>
  <c r="C25" i="3"/>
  <c r="B9" i="4"/>
  <c r="A5" i="10" s="1"/>
  <c r="A29" i="2"/>
  <c r="L62" i="10"/>
  <c r="I7" i="10"/>
  <c r="A39" i="2"/>
  <c r="A34" i="2"/>
  <c r="Q4" i="16"/>
  <c r="I12" i="10"/>
  <c r="C16" i="3"/>
  <c r="A51" i="2"/>
  <c r="A79" i="2"/>
  <c r="I38" i="10"/>
  <c r="C31" i="3"/>
  <c r="J65" i="10"/>
  <c r="A8" i="2"/>
  <c r="E4" i="16"/>
  <c r="A12" i="2"/>
  <c r="J28" i="10"/>
  <c r="A3" i="2"/>
  <c r="J22" i="10"/>
  <c r="A20" i="2"/>
  <c r="A4" i="16"/>
  <c r="A13" i="2"/>
  <c r="A30" i="2"/>
  <c r="I42" i="10"/>
  <c r="B8" i="4"/>
  <c r="A4" i="10" s="1"/>
  <c r="A11" i="2"/>
  <c r="O4" i="16"/>
  <c r="B68" i="4"/>
  <c r="A49" i="10" s="1"/>
  <c r="C14" i="3"/>
  <c r="A76" i="2"/>
  <c r="A60" i="2"/>
  <c r="B18" i="3"/>
  <c r="I65" i="10"/>
  <c r="A33" i="2"/>
  <c r="J41" i="10"/>
  <c r="I36" i="10"/>
  <c r="C18" i="3"/>
  <c r="A65" i="2"/>
  <c r="J21" i="10"/>
  <c r="B10" i="4"/>
  <c r="A6" i="10" s="1"/>
  <c r="J54" i="10"/>
  <c r="H68" i="4"/>
  <c r="J496" i="16"/>
  <c r="E496" i="16"/>
  <c r="H496" i="16"/>
  <c r="F496" i="16"/>
  <c r="H759" i="16"/>
  <c r="J555" i="16"/>
  <c r="E369" i="16"/>
  <c r="G369" i="16"/>
  <c r="F596" i="16"/>
  <c r="E596" i="16"/>
  <c r="J937" i="16"/>
  <c r="D937" i="16"/>
  <c r="F1065" i="16"/>
  <c r="I415" i="16"/>
  <c r="D865" i="16"/>
  <c r="J865" i="16"/>
  <c r="G743" i="16"/>
  <c r="H937" i="16"/>
  <c r="J1092" i="16"/>
  <c r="I972" i="16"/>
  <c r="I369" i="16"/>
  <c r="D496" i="16"/>
  <c r="I937" i="16"/>
  <c r="F415" i="16"/>
  <c r="I640" i="16"/>
  <c r="J481" i="16"/>
  <c r="J849" i="16"/>
  <c r="I865" i="16"/>
  <c r="J759" i="16"/>
  <c r="H928" i="16"/>
  <c r="F928" i="16"/>
  <c r="E928" i="16"/>
  <c r="D928" i="16"/>
  <c r="H682" i="16"/>
  <c r="F682" i="16"/>
  <c r="H1193" i="16"/>
  <c r="D1193" i="16"/>
  <c r="G1193" i="16"/>
  <c r="H1034" i="16"/>
  <c r="D1034" i="16"/>
  <c r="E1034" i="16"/>
  <c r="F1034" i="16"/>
  <c r="F369" i="16"/>
  <c r="I759" i="16"/>
  <c r="G640" i="16"/>
  <c r="J1193" i="16"/>
  <c r="D369" i="16"/>
  <c r="E759" i="16"/>
  <c r="I1065" i="16"/>
  <c r="E481" i="16"/>
  <c r="I849" i="16"/>
  <c r="I1034" i="16"/>
  <c r="H865" i="16"/>
  <c r="F759" i="16"/>
  <c r="J682" i="16"/>
  <c r="J924" i="16"/>
  <c r="E1193" i="16"/>
  <c r="G748" i="16"/>
  <c r="I715" i="16"/>
  <c r="F715" i="16"/>
  <c r="G496" i="16"/>
  <c r="F500" i="16"/>
  <c r="D500" i="16"/>
  <c r="D524" i="16"/>
  <c r="E524" i="16"/>
  <c r="J524" i="16"/>
  <c r="H524" i="16"/>
  <c r="E571" i="16"/>
  <c r="H616" i="16"/>
  <c r="H986" i="16"/>
  <c r="D986" i="16"/>
  <c r="H802" i="16"/>
  <c r="E731" i="16"/>
  <c r="H731" i="16"/>
  <c r="F327" i="16"/>
  <c r="E346" i="16"/>
  <c r="J346" i="16"/>
  <c r="G600" i="16"/>
  <c r="J947" i="16"/>
  <c r="E293" i="16"/>
  <c r="E959" i="16"/>
  <c r="G936" i="16"/>
  <c r="F481" i="16"/>
  <c r="I947" i="16"/>
  <c r="G1195" i="16"/>
  <c r="D1195" i="16"/>
  <c r="H959" i="16"/>
  <c r="E936" i="16"/>
  <c r="H857" i="16"/>
  <c r="F857" i="16"/>
  <c r="J857" i="16"/>
  <c r="I857" i="16"/>
  <c r="G892" i="16"/>
  <c r="F892" i="16"/>
  <c r="D549" i="16"/>
  <c r="J549" i="16"/>
  <c r="F549" i="16"/>
  <c r="H911" i="16"/>
  <c r="F911" i="16"/>
  <c r="E739" i="16"/>
  <c r="D739" i="16"/>
  <c r="J751" i="16"/>
  <c r="H549" i="16"/>
  <c r="J986" i="16"/>
  <c r="G1157" i="16"/>
  <c r="I1157" i="16"/>
  <c r="J1157" i="16"/>
  <c r="G578" i="16"/>
  <c r="D879" i="16"/>
  <c r="G879" i="16"/>
  <c r="E879" i="16"/>
  <c r="I879" i="16"/>
  <c r="D407" i="16"/>
  <c r="J407" i="16"/>
  <c r="I787" i="16"/>
  <c r="F807" i="16"/>
  <c r="J807" i="16"/>
  <c r="H807" i="16"/>
  <c r="E807" i="16"/>
  <c r="D807" i="16"/>
  <c r="I815" i="16"/>
  <c r="E815" i="16"/>
  <c r="G815" i="16"/>
  <c r="F815" i="16"/>
  <c r="H815" i="16"/>
  <c r="E857" i="16"/>
  <c r="J879" i="16"/>
  <c r="E1032" i="16"/>
  <c r="I549" i="16"/>
  <c r="H1157" i="16"/>
  <c r="G917" i="16"/>
  <c r="J917" i="16"/>
  <c r="D917" i="16"/>
  <c r="G986" i="16"/>
  <c r="G858" i="16"/>
  <c r="J858" i="16"/>
  <c r="F858" i="16"/>
  <c r="I327" i="16"/>
  <c r="D346" i="16"/>
  <c r="F346" i="16"/>
  <c r="H346" i="16"/>
  <c r="I346" i="16"/>
  <c r="D423" i="16"/>
  <c r="I423" i="16"/>
  <c r="G423" i="16"/>
  <c r="J423" i="16"/>
  <c r="H423" i="16"/>
  <c r="E423" i="16"/>
  <c r="E767" i="16"/>
  <c r="H767" i="16"/>
  <c r="F767" i="16"/>
  <c r="I767" i="16"/>
  <c r="J767" i="16"/>
  <c r="D767" i="16"/>
  <c r="G767" i="16"/>
  <c r="H876" i="16"/>
  <c r="F876" i="16"/>
  <c r="D876" i="16"/>
  <c r="I876" i="16"/>
  <c r="G876" i="16"/>
  <c r="I903" i="16"/>
  <c r="J903" i="16"/>
  <c r="E903" i="16"/>
  <c r="H903" i="16"/>
  <c r="D903" i="16"/>
  <c r="J287" i="16"/>
  <c r="G287" i="16"/>
  <c r="I287" i="16"/>
  <c r="F287" i="16"/>
  <c r="G857" i="16"/>
  <c r="H287" i="16"/>
  <c r="I923" i="16"/>
  <c r="E549" i="16"/>
  <c r="I892" i="16"/>
  <c r="F903" i="16"/>
  <c r="E1157" i="16"/>
  <c r="E600" i="16"/>
  <c r="H600" i="16"/>
  <c r="G751" i="16"/>
  <c r="D323" i="16"/>
  <c r="H323" i="16"/>
  <c r="J323" i="16"/>
  <c r="E323" i="16"/>
  <c r="G323" i="16"/>
  <c r="F323" i="16"/>
  <c r="I323" i="16"/>
  <c r="E427" i="16"/>
  <c r="F427" i="16"/>
  <c r="J427" i="16"/>
  <c r="H481" i="16"/>
  <c r="G481" i="16"/>
  <c r="D481" i="16"/>
  <c r="G739" i="16"/>
  <c r="I1284" i="16"/>
  <c r="J335" i="16"/>
  <c r="F335" i="16"/>
  <c r="E335" i="16"/>
  <c r="H335" i="16"/>
  <c r="D335" i="16"/>
  <c r="I335" i="16"/>
  <c r="H391" i="16"/>
  <c r="E391" i="16"/>
  <c r="D391" i="16"/>
  <c r="F411" i="16"/>
  <c r="D411" i="16"/>
  <c r="E411" i="16"/>
  <c r="J411" i="16"/>
  <c r="H411" i="16"/>
  <c r="I411" i="16"/>
  <c r="E803" i="16"/>
  <c r="J803" i="16"/>
  <c r="F943" i="16"/>
  <c r="D943" i="16"/>
  <c r="J943" i="16"/>
  <c r="H943" i="16"/>
  <c r="E943" i="16"/>
  <c r="I943" i="16"/>
  <c r="F947" i="16"/>
  <c r="D947" i="16"/>
  <c r="D575" i="16"/>
  <c r="I762" i="16"/>
  <c r="D1222" i="16"/>
  <c r="J391" i="16"/>
  <c r="E947" i="16"/>
  <c r="F1170" i="16"/>
  <c r="H1170" i="16"/>
  <c r="D1170" i="16"/>
  <c r="I1170" i="16"/>
  <c r="J1170" i="16"/>
  <c r="E1170" i="16"/>
  <c r="D330" i="16"/>
  <c r="E330" i="16"/>
  <c r="D791" i="16"/>
  <c r="J791" i="16"/>
  <c r="F791" i="16"/>
  <c r="I791" i="16"/>
  <c r="E791" i="16"/>
  <c r="H791" i="16"/>
  <c r="J265" i="16"/>
  <c r="I265" i="16"/>
  <c r="E265" i="16"/>
  <c r="F299" i="16"/>
  <c r="J299" i="16"/>
  <c r="H299" i="16"/>
  <c r="E299" i="16"/>
  <c r="I387" i="16"/>
  <c r="D387" i="16"/>
  <c r="H387" i="16"/>
  <c r="J387" i="16"/>
  <c r="D485" i="16"/>
  <c r="F485" i="16"/>
  <c r="I485" i="16"/>
  <c r="J485" i="16"/>
  <c r="D849" i="16"/>
  <c r="E849" i="16"/>
  <c r="G943" i="16"/>
  <c r="F311" i="16"/>
  <c r="D819" i="16"/>
  <c r="E819" i="16"/>
  <c r="F819" i="16"/>
  <c r="H819" i="16"/>
  <c r="F1107" i="16"/>
  <c r="G1107" i="16"/>
  <c r="E1107" i="16"/>
  <c r="D1107" i="16"/>
  <c r="D544" i="16"/>
  <c r="E563" i="16"/>
  <c r="J563" i="16"/>
  <c r="F563" i="16"/>
  <c r="I563" i="16"/>
  <c r="G563" i="16"/>
  <c r="D563" i="16"/>
  <c r="H563" i="16"/>
  <c r="E1218" i="16"/>
  <c r="H1218" i="16"/>
  <c r="H1107" i="16"/>
  <c r="D1118" i="16"/>
  <c r="E1118" i="16"/>
  <c r="D1249" i="16"/>
  <c r="G1249" i="16"/>
  <c r="H1249" i="16"/>
  <c r="F1249" i="16"/>
  <c r="I1249" i="16"/>
  <c r="E1092" i="16"/>
  <c r="F1092" i="16"/>
  <c r="I1092" i="16"/>
  <c r="G1092" i="16"/>
  <c r="E268" i="16"/>
  <c r="D268" i="16"/>
  <c r="F268" i="16"/>
  <c r="G268" i="16"/>
  <c r="I300" i="16"/>
  <c r="G1032" i="16"/>
  <c r="D1032" i="16"/>
  <c r="H1032" i="16"/>
  <c r="J1032" i="16"/>
  <c r="F1032" i="16"/>
  <c r="H873" i="16"/>
  <c r="D944" i="16"/>
  <c r="F944" i="16"/>
  <c r="J944" i="16"/>
  <c r="H944" i="16"/>
  <c r="I944" i="16"/>
  <c r="E944" i="16"/>
  <c r="G944" i="16"/>
  <c r="J731" i="16"/>
  <c r="I731" i="16"/>
  <c r="D731" i="16"/>
  <c r="G731" i="16"/>
  <c r="F731" i="16"/>
  <c r="I1107" i="16"/>
  <c r="F808" i="16"/>
  <c r="I808" i="16"/>
  <c r="D808" i="16"/>
  <c r="E808" i="16"/>
  <c r="G808" i="16"/>
  <c r="J808" i="16"/>
  <c r="H808" i="16"/>
  <c r="I990" i="16"/>
  <c r="D990" i="16"/>
  <c r="G990" i="16"/>
  <c r="E1123" i="16"/>
  <c r="I1123" i="16"/>
  <c r="D1123" i="16"/>
  <c r="H1123" i="16"/>
  <c r="E555" i="16"/>
  <c r="H555" i="16"/>
  <c r="F555" i="16"/>
  <c r="I555" i="16"/>
  <c r="G555" i="16"/>
  <c r="D616" i="16"/>
  <c r="E616" i="16"/>
  <c r="H1069" i="16"/>
  <c r="E1069" i="16"/>
  <c r="J1069" i="16"/>
  <c r="F740" i="16"/>
  <c r="I740" i="16"/>
  <c r="G740" i="16"/>
  <c r="I802" i="16"/>
  <c r="E655" i="16"/>
  <c r="G655" i="16"/>
  <c r="I655" i="16"/>
  <c r="J923" i="16"/>
  <c r="F923" i="16"/>
  <c r="H923" i="16"/>
  <c r="F600" i="16"/>
  <c r="D600" i="16"/>
  <c r="E762" i="16"/>
  <c r="F578" i="16"/>
  <c r="E578" i="16"/>
  <c r="I746" i="16"/>
  <c r="F746" i="16"/>
  <c r="G804" i="16"/>
  <c r="J804" i="16"/>
  <c r="H804" i="16"/>
  <c r="I804" i="16"/>
  <c r="D804" i="16"/>
  <c r="F804" i="16"/>
  <c r="E804" i="16"/>
  <c r="F1166" i="16"/>
  <c r="D1166" i="16"/>
  <c r="E1166" i="16"/>
  <c r="J960" i="16"/>
  <c r="F960" i="16"/>
  <c r="E1179" i="16"/>
  <c r="D1179" i="16"/>
  <c r="F274" i="16"/>
  <c r="D274" i="16"/>
  <c r="G274" i="16"/>
  <c r="F447" i="16"/>
  <c r="I917" i="16"/>
  <c r="F917" i="16"/>
  <c r="H917" i="16"/>
  <c r="E917" i="16"/>
  <c r="F1157" i="16"/>
  <c r="D1157" i="16"/>
  <c r="I293" i="16"/>
  <c r="J293" i="16"/>
  <c r="G571" i="16"/>
  <c r="D604" i="16"/>
  <c r="E986" i="16"/>
  <c r="I986" i="16"/>
  <c r="F986" i="16"/>
  <c r="F1035" i="16"/>
  <c r="E1035" i="16"/>
  <c r="D1035" i="16"/>
  <c r="H1035" i="16"/>
  <c r="J869" i="16"/>
  <c r="G968" i="16"/>
  <c r="E968" i="16"/>
  <c r="J968" i="16"/>
  <c r="F968" i="16"/>
  <c r="H968" i="16"/>
  <c r="D968" i="16"/>
  <c r="I968" i="16"/>
  <c r="F1195" i="16"/>
  <c r="I1195" i="16"/>
  <c r="H1195" i="16"/>
  <c r="I472" i="16"/>
  <c r="G472" i="16"/>
  <c r="E472" i="16"/>
  <c r="I1216" i="16"/>
  <c r="H1216" i="16"/>
  <c r="D1225" i="16"/>
  <c r="F435" i="16"/>
  <c r="I1214" i="16"/>
  <c r="E1214" i="16"/>
  <c r="H1214" i="16"/>
  <c r="J1214" i="16"/>
  <c r="D1214" i="16"/>
  <c r="F1214" i="16"/>
  <c r="J1202" i="16"/>
  <c r="E858" i="16"/>
  <c r="I858" i="16"/>
  <c r="G923" i="16"/>
  <c r="J1224" i="16"/>
  <c r="D1224" i="16"/>
  <c r="F1224" i="16"/>
  <c r="H1224" i="16"/>
  <c r="I1224" i="16"/>
  <c r="D712" i="16"/>
  <c r="F712" i="16"/>
  <c r="E712" i="16"/>
  <c r="H712" i="16"/>
  <c r="J1178" i="16"/>
  <c r="E1178" i="16"/>
  <c r="G757" i="16"/>
  <c r="F757" i="16"/>
  <c r="I757" i="16"/>
  <c r="E757" i="16"/>
  <c r="J353" i="16"/>
  <c r="E353" i="16"/>
  <c r="H353" i="16"/>
  <c r="G353" i="16"/>
  <c r="F353" i="16"/>
  <c r="D353" i="16"/>
  <c r="I353" i="16"/>
  <c r="J505" i="16"/>
  <c r="I505" i="16"/>
  <c r="H505" i="16"/>
  <c r="D505" i="16"/>
  <c r="G505" i="16"/>
  <c r="F505" i="16"/>
  <c r="E505" i="16"/>
  <c r="D837" i="16"/>
  <c r="H837" i="16"/>
  <c r="I837" i="16"/>
  <c r="F837" i="16"/>
  <c r="I868" i="16"/>
  <c r="E763" i="16"/>
  <c r="G763" i="16"/>
  <c r="G596" i="16"/>
  <c r="H596" i="16"/>
  <c r="D596" i="16"/>
  <c r="J596" i="16"/>
  <c r="I596" i="16"/>
  <c r="J848" i="16"/>
  <c r="H848" i="16"/>
  <c r="D848" i="16"/>
  <c r="G848" i="16"/>
  <c r="I848" i="16"/>
  <c r="D970" i="16"/>
  <c r="H970" i="16"/>
  <c r="E970" i="16"/>
  <c r="F970" i="16"/>
  <c r="G970" i="16"/>
  <c r="J970" i="16"/>
  <c r="I970" i="16"/>
  <c r="I1225" i="16"/>
  <c r="H1225" i="16"/>
  <c r="E1225" i="16"/>
  <c r="J1225" i="16"/>
  <c r="F1225" i="16"/>
  <c r="E435" i="16"/>
  <c r="D435" i="16"/>
  <c r="J435" i="16"/>
  <c r="G435" i="16"/>
  <c r="H435" i="16"/>
  <c r="F652" i="16"/>
  <c r="I652" i="16"/>
  <c r="J652" i="16"/>
  <c r="E652" i="16"/>
  <c r="H652" i="16"/>
  <c r="D652" i="16"/>
  <c r="G652" i="16"/>
  <c r="H1049" i="16"/>
  <c r="J1049" i="16"/>
  <c r="I1049" i="16"/>
  <c r="D1049" i="16"/>
  <c r="F1049" i="16"/>
  <c r="G1049" i="16"/>
  <c r="E1049" i="16"/>
  <c r="G1009" i="16"/>
  <c r="F1009" i="16"/>
  <c r="I1009" i="16"/>
  <c r="H1009" i="16"/>
  <c r="J1009" i="16"/>
  <c r="E1009" i="16"/>
  <c r="E971" i="16"/>
  <c r="G971" i="16"/>
  <c r="I971" i="16"/>
  <c r="H971" i="16"/>
  <c r="J971" i="16"/>
  <c r="D971" i="16"/>
  <c r="E871" i="16"/>
  <c r="H871" i="16"/>
  <c r="I871" i="16"/>
  <c r="D871" i="16"/>
  <c r="F871" i="16"/>
  <c r="J871" i="16"/>
  <c r="G871" i="16"/>
  <c r="H868" i="16"/>
  <c r="J868" i="16"/>
  <c r="F868" i="16"/>
  <c r="E868" i="16"/>
  <c r="G868" i="16"/>
  <c r="E866" i="16"/>
  <c r="F866" i="16"/>
  <c r="H866" i="16"/>
  <c r="J866" i="16"/>
  <c r="I866" i="16"/>
  <c r="D866" i="16"/>
  <c r="I860" i="16"/>
  <c r="F860" i="16"/>
  <c r="J860" i="16"/>
  <c r="D860" i="16"/>
  <c r="E860" i="16"/>
  <c r="H860" i="16"/>
  <c r="D833" i="16"/>
  <c r="E833" i="16"/>
  <c r="G833" i="16"/>
  <c r="J833" i="16"/>
  <c r="H833" i="16"/>
  <c r="G817" i="16"/>
  <c r="H817" i="16"/>
  <c r="J817" i="16"/>
  <c r="I817" i="16"/>
  <c r="F817" i="16"/>
  <c r="D817" i="16"/>
  <c r="E797" i="16"/>
  <c r="D797" i="16"/>
  <c r="J797" i="16"/>
  <c r="G797" i="16"/>
  <c r="F797" i="16"/>
  <c r="H797" i="16"/>
  <c r="I797" i="16"/>
  <c r="I761" i="16"/>
  <c r="F761" i="16"/>
  <c r="D761" i="16"/>
  <c r="G761" i="16"/>
  <c r="E761" i="16"/>
  <c r="I747" i="16"/>
  <c r="J747" i="16"/>
  <c r="D747" i="16"/>
  <c r="F747" i="16"/>
  <c r="G723" i="16"/>
  <c r="J723" i="16"/>
  <c r="H723" i="16"/>
  <c r="F723" i="16"/>
  <c r="E723" i="16"/>
  <c r="D723" i="16"/>
  <c r="D721" i="16"/>
  <c r="J721" i="16"/>
  <c r="E721" i="16"/>
  <c r="F721" i="16"/>
  <c r="G721" i="16"/>
  <c r="H721" i="16"/>
  <c r="I721" i="16"/>
  <c r="F698" i="16"/>
  <c r="I698" i="16"/>
  <c r="D698" i="16"/>
  <c r="E698" i="16"/>
  <c r="H698" i="16"/>
  <c r="J698" i="16"/>
  <c r="G698" i="16"/>
  <c r="J473" i="16"/>
  <c r="F473" i="16"/>
  <c r="I473" i="16"/>
  <c r="E473" i="16"/>
  <c r="D473" i="16"/>
  <c r="G473" i="16"/>
  <c r="H473" i="16"/>
  <c r="G434" i="16"/>
  <c r="F434" i="16"/>
  <c r="J434" i="16"/>
  <c r="H434" i="16"/>
  <c r="I434" i="16"/>
  <c r="E434" i="16"/>
  <c r="D727" i="16"/>
  <c r="H727" i="16"/>
  <c r="J727" i="16"/>
  <c r="F727" i="16"/>
  <c r="E754" i="16"/>
  <c r="H754" i="16"/>
  <c r="H612" i="16"/>
  <c r="E612" i="16"/>
  <c r="G866" i="16"/>
  <c r="F263" i="16"/>
  <c r="D1284" i="16"/>
  <c r="G1284" i="16"/>
  <c r="F1284" i="16"/>
  <c r="H1284" i="16"/>
  <c r="E1284" i="16"/>
  <c r="I783" i="16"/>
  <c r="G783" i="16"/>
  <c r="F783" i="16"/>
  <c r="E783" i="16"/>
  <c r="H783" i="16"/>
  <c r="D783" i="16"/>
  <c r="H799" i="16"/>
  <c r="D799" i="16"/>
  <c r="I799" i="16"/>
  <c r="I435" i="16"/>
  <c r="J783" i="16"/>
  <c r="I723" i="16"/>
  <c r="D1009" i="16"/>
  <c r="D434" i="16"/>
  <c r="H747" i="16"/>
  <c r="G1225" i="16"/>
  <c r="J754" i="16"/>
  <c r="I833" i="16"/>
  <c r="I311" i="16"/>
  <c r="G311" i="16"/>
  <c r="J311" i="16"/>
  <c r="H1115" i="16"/>
  <c r="I1115" i="16"/>
  <c r="E1115" i="16"/>
  <c r="F1115" i="16"/>
  <c r="J1218" i="16"/>
  <c r="G1218" i="16"/>
  <c r="D1218" i="16"/>
  <c r="F1218" i="16"/>
  <c r="I1218" i="16"/>
  <c r="E747" i="16"/>
  <c r="E380" i="16"/>
  <c r="H380" i="16"/>
  <c r="E751" i="16"/>
  <c r="F751" i="16"/>
  <c r="H751" i="16"/>
  <c r="D751" i="16"/>
  <c r="I751" i="16"/>
  <c r="H543" i="16"/>
  <c r="F543" i="16"/>
  <c r="I543" i="16"/>
  <c r="E543" i="16"/>
  <c r="G543" i="16"/>
  <c r="D543" i="16"/>
  <c r="J761" i="16"/>
  <c r="J748" i="16"/>
  <c r="G639" i="16"/>
  <c r="E796" i="16"/>
  <c r="F796" i="16"/>
  <c r="D796" i="16"/>
  <c r="I796" i="16"/>
  <c r="J796" i="16"/>
  <c r="F885" i="16"/>
  <c r="G885" i="16"/>
  <c r="E885" i="16"/>
  <c r="D885" i="16"/>
  <c r="J935" i="16"/>
  <c r="G935" i="16"/>
  <c r="E935" i="16"/>
  <c r="F935" i="16"/>
  <c r="D935" i="16"/>
  <c r="H877" i="16"/>
  <c r="I877" i="16"/>
  <c r="G877" i="16"/>
  <c r="D877" i="16"/>
  <c r="F877" i="16"/>
  <c r="J877" i="16"/>
  <c r="H308" i="16"/>
  <c r="G308" i="16"/>
  <c r="I308" i="16"/>
  <c r="D308" i="16"/>
  <c r="E308" i="16"/>
  <c r="I1133" i="16"/>
  <c r="G1133" i="16"/>
  <c r="F1133" i="16"/>
  <c r="H1133" i="16"/>
  <c r="D1058" i="16"/>
  <c r="H1058" i="16"/>
  <c r="G1058" i="16"/>
  <c r="F1058" i="16"/>
  <c r="I1056" i="16"/>
  <c r="F1056" i="16"/>
  <c r="H1056" i="16"/>
  <c r="D1056" i="16"/>
  <c r="E1056" i="16"/>
  <c r="G1056" i="16"/>
  <c r="D367" i="16"/>
  <c r="J367" i="16"/>
  <c r="F367" i="16"/>
  <c r="G367" i="16"/>
  <c r="D364" i="16"/>
  <c r="G364" i="16"/>
  <c r="I364" i="16"/>
  <c r="H364" i="16"/>
  <c r="F364" i="16"/>
  <c r="H331" i="16"/>
  <c r="F331" i="16"/>
  <c r="G331" i="16"/>
  <c r="I331" i="16"/>
  <c r="J757" i="16"/>
  <c r="H757" i="16"/>
  <c r="J712" i="16"/>
  <c r="I712" i="16"/>
  <c r="F869" i="16"/>
  <c r="F1179" i="16"/>
  <c r="J1123" i="16"/>
  <c r="H268" i="16"/>
  <c r="I268" i="16"/>
  <c r="I1118" i="16"/>
  <c r="F1118" i="16"/>
  <c r="G427" i="16"/>
  <c r="G1179" i="16"/>
  <c r="H489" i="16"/>
  <c r="H796" i="16"/>
  <c r="D748" i="16"/>
  <c r="I885" i="16"/>
  <c r="D1133" i="16"/>
  <c r="D1092" i="16"/>
  <c r="H1092" i="16"/>
  <c r="I960" i="16"/>
  <c r="G960" i="16"/>
  <c r="E1133" i="16"/>
  <c r="J617" i="16"/>
  <c r="F617" i="16"/>
  <c r="G617" i="16"/>
  <c r="F308" i="16"/>
  <c r="H1188" i="16"/>
  <c r="J1188" i="16"/>
  <c r="F1188" i="16"/>
  <c r="E1188" i="16"/>
  <c r="F707" i="16"/>
  <c r="D707" i="16"/>
  <c r="E707" i="16"/>
  <c r="G800" i="16"/>
  <c r="I800" i="16"/>
  <c r="H800" i="16"/>
  <c r="D800" i="16"/>
  <c r="E800" i="16"/>
  <c r="F267" i="16"/>
  <c r="D267" i="16"/>
  <c r="G267" i="16"/>
  <c r="E489" i="16"/>
  <c r="I489" i="16"/>
  <c r="I1179" i="16"/>
  <c r="G1123" i="16"/>
  <c r="G1118" i="16"/>
  <c r="H427" i="16"/>
  <c r="I427" i="16"/>
  <c r="F936" i="16"/>
  <c r="E639" i="16"/>
  <c r="I936" i="16"/>
  <c r="E331" i="16"/>
  <c r="D331" i="16"/>
  <c r="H748" i="16"/>
  <c r="G796" i="16"/>
  <c r="H936" i="16"/>
  <c r="H885" i="16"/>
  <c r="J1133" i="16"/>
  <c r="H655" i="16"/>
  <c r="D655" i="16"/>
  <c r="J489" i="16"/>
  <c r="I1193" i="16"/>
  <c r="F1193" i="16"/>
  <c r="E395" i="16"/>
  <c r="D395" i="16"/>
  <c r="H919" i="16"/>
  <c r="J919" i="16"/>
  <c r="G919" i="16"/>
  <c r="J1058" i="16"/>
  <c r="E1100" i="16"/>
  <c r="H1100" i="16"/>
  <c r="G1100" i="16"/>
  <c r="J1100" i="16"/>
  <c r="H1096" i="16"/>
  <c r="I1096" i="16"/>
  <c r="G1096" i="16"/>
  <c r="F1096" i="16"/>
  <c r="J1096" i="16"/>
  <c r="E1096" i="16"/>
  <c r="G1160" i="16"/>
  <c r="I1160" i="16"/>
  <c r="H1160" i="16"/>
  <c r="E877" i="16"/>
  <c r="J1056" i="16"/>
  <c r="E689" i="16"/>
  <c r="D689" i="16"/>
  <c r="J689" i="16"/>
  <c r="H689" i="16"/>
  <c r="F689" i="16"/>
  <c r="J1270" i="16"/>
  <c r="H1270" i="16"/>
  <c r="F1270" i="16"/>
  <c r="D1270" i="16"/>
  <c r="I1270" i="16"/>
  <c r="D1216" i="16"/>
  <c r="H451" i="16"/>
  <c r="D516" i="16"/>
  <c r="I516" i="16"/>
  <c r="I1240" i="16"/>
  <c r="D1240" i="16"/>
  <c r="H1240" i="16"/>
  <c r="E945" i="16"/>
  <c r="D945" i="16"/>
  <c r="D1139" i="16"/>
  <c r="J1139" i="16"/>
  <c r="G1139" i="16"/>
  <c r="F1190" i="16"/>
  <c r="H1190" i="16"/>
  <c r="E1120" i="16"/>
  <c r="J1120" i="16"/>
  <c r="H1120" i="16"/>
  <c r="D1120" i="16"/>
  <c r="G1120" i="16"/>
  <c r="D281" i="16"/>
  <c r="I281" i="16"/>
  <c r="J281" i="16"/>
  <c r="G281" i="16"/>
  <c r="D736" i="16"/>
  <c r="F736" i="16"/>
  <c r="H736" i="16"/>
  <c r="I736" i="16"/>
  <c r="G736" i="16"/>
  <c r="G538" i="16"/>
  <c r="D538" i="16"/>
  <c r="J1237" i="16"/>
  <c r="D1237" i="16"/>
  <c r="F897" i="16"/>
  <c r="J897" i="16"/>
  <c r="D1117" i="16"/>
  <c r="G1117" i="16"/>
  <c r="D682" i="16"/>
  <c r="I682" i="16"/>
  <c r="D1217" i="16"/>
  <c r="H1217" i="16"/>
  <c r="J1217" i="16"/>
  <c r="H666" i="16"/>
  <c r="D666" i="16"/>
  <c r="J666" i="16"/>
  <c r="H696" i="16"/>
  <c r="I696" i="16"/>
  <c r="G651" i="16"/>
  <c r="E651" i="16"/>
  <c r="I1253" i="16"/>
  <c r="D1253" i="16"/>
  <c r="J565" i="16"/>
  <c r="I565" i="16"/>
  <c r="H565" i="16"/>
  <c r="E565" i="16"/>
  <c r="G565" i="16"/>
  <c r="F565" i="16"/>
  <c r="G1124" i="16"/>
  <c r="E1124" i="16"/>
  <c r="H1124" i="16"/>
  <c r="E1258" i="16"/>
  <c r="I1258" i="16"/>
  <c r="D1258" i="16"/>
  <c r="F1258" i="16"/>
  <c r="J1258" i="16"/>
  <c r="F400" i="16"/>
  <c r="I400" i="16"/>
  <c r="D400" i="16"/>
  <c r="F613" i="16"/>
  <c r="G613" i="16"/>
  <c r="H613" i="16"/>
  <c r="E613" i="16"/>
  <c r="D969" i="16"/>
  <c r="I969" i="16"/>
  <c r="H847" i="16"/>
  <c r="E847" i="16"/>
  <c r="I847" i="16"/>
  <c r="G847" i="16"/>
  <c r="D847" i="16"/>
  <c r="G1029" i="16"/>
  <c r="F1029" i="16"/>
  <c r="E1029" i="16"/>
  <c r="F1257" i="16"/>
  <c r="E1257" i="16"/>
  <c r="F1052" i="16"/>
  <c r="G1052" i="16"/>
  <c r="D1052" i="16"/>
  <c r="I1052" i="16"/>
  <c r="H1277" i="16"/>
  <c r="D770" i="16"/>
  <c r="I572" i="16"/>
  <c r="E572" i="16"/>
  <c r="G572" i="16"/>
  <c r="J572" i="16"/>
  <c r="H1001" i="16"/>
  <c r="D1001" i="16"/>
  <c r="G305" i="16"/>
  <c r="E305" i="16"/>
  <c r="J317" i="16"/>
  <c r="G317" i="16"/>
  <c r="H317" i="16"/>
  <c r="J1244" i="16"/>
  <c r="G1244" i="16"/>
  <c r="D537" i="16"/>
  <c r="H537" i="16"/>
  <c r="H756" i="16"/>
  <c r="I756" i="16"/>
  <c r="J273" i="16"/>
  <c r="F273" i="16"/>
  <c r="D273" i="16"/>
  <c r="F690" i="16"/>
  <c r="G690" i="16"/>
  <c r="I1026" i="16"/>
  <c r="G1026" i="16"/>
  <c r="F768" i="16" l="1"/>
  <c r="J639" i="16"/>
  <c r="J419" i="16"/>
  <c r="J544" i="16"/>
  <c r="D769" i="16"/>
  <c r="H787" i="16"/>
  <c r="J443" i="16"/>
  <c r="I520" i="16"/>
  <c r="I771" i="16"/>
  <c r="E1072" i="16"/>
  <c r="G440" i="16"/>
  <c r="I1208" i="16"/>
  <c r="H313" i="16"/>
  <c r="I347" i="16"/>
  <c r="I307" i="16"/>
  <c r="H440" i="16"/>
  <c r="H1037" i="16"/>
  <c r="G474" i="16"/>
  <c r="D1227" i="16"/>
  <c r="I1109" i="16"/>
  <c r="D1109" i="16"/>
  <c r="I1132" i="16"/>
  <c r="G1162" i="16"/>
  <c r="E1162" i="16"/>
  <c r="I425" i="16"/>
  <c r="D639" i="16"/>
  <c r="G1158" i="16"/>
  <c r="F769" i="16"/>
  <c r="J787" i="16"/>
  <c r="D260" i="16"/>
  <c r="J520" i="16"/>
  <c r="G1064" i="16"/>
  <c r="I1072" i="16"/>
  <c r="G459" i="16"/>
  <c r="D1208" i="16"/>
  <c r="H499" i="16"/>
  <c r="G313" i="16"/>
  <c r="G499" i="16"/>
  <c r="I1227" i="16"/>
  <c r="E1109" i="16"/>
  <c r="F313" i="16"/>
  <c r="D792" i="16"/>
  <c r="I634" i="16"/>
  <c r="D1162" i="16"/>
  <c r="D626" i="16"/>
  <c r="G1275" i="16"/>
  <c r="D425" i="16"/>
  <c r="G768" i="16"/>
  <c r="E1171" i="16"/>
  <c r="D768" i="16"/>
  <c r="J769" i="16"/>
  <c r="D1171" i="16"/>
  <c r="F1158" i="16"/>
  <c r="G544" i="16"/>
  <c r="E951" i="16"/>
  <c r="H769" i="16"/>
  <c r="G307" i="16"/>
  <c r="E520" i="16"/>
  <c r="F1064" i="16"/>
  <c r="J1072" i="16"/>
  <c r="E459" i="16"/>
  <c r="J1208" i="16"/>
  <c r="D459" i="16"/>
  <c r="D499" i="16"/>
  <c r="U499" i="16" s="1"/>
  <c r="E371" i="16"/>
  <c r="E1164" i="16"/>
  <c r="D440" i="16"/>
  <c r="D1164" i="16"/>
  <c r="E1132" i="16"/>
  <c r="G1227" i="16"/>
  <c r="J499" i="16"/>
  <c r="I499" i="16"/>
  <c r="I1008" i="16"/>
  <c r="E1064" i="16"/>
  <c r="D1132" i="16"/>
  <c r="H634" i="16"/>
  <c r="E626" i="16"/>
  <c r="I1162" i="16"/>
  <c r="G626" i="16"/>
  <c r="H768" i="16"/>
  <c r="E769" i="16"/>
  <c r="I639" i="16"/>
  <c r="H1171" i="16"/>
  <c r="E1158" i="16"/>
  <c r="H544" i="16"/>
  <c r="J608" i="16"/>
  <c r="D371" i="16"/>
  <c r="G1208" i="16"/>
  <c r="H1064" i="16"/>
  <c r="H459" i="16"/>
  <c r="F459" i="16"/>
  <c r="I1064" i="16"/>
  <c r="J1164" i="16"/>
  <c r="G347" i="16"/>
  <c r="E440" i="16"/>
  <c r="H1164" i="16"/>
  <c r="D988" i="16"/>
  <c r="D823" i="16"/>
  <c r="H1227" i="16"/>
  <c r="E499" i="16"/>
  <c r="H1008" i="16"/>
  <c r="F1072" i="16"/>
  <c r="D1064" i="16"/>
  <c r="F1132" i="16"/>
  <c r="D634" i="16"/>
  <c r="I626" i="16"/>
  <c r="F1162" i="16"/>
  <c r="G425" i="16"/>
  <c r="F1171" i="16"/>
  <c r="D1158" i="16"/>
  <c r="E976" i="16"/>
  <c r="I544" i="16"/>
  <c r="F260" i="16"/>
  <c r="D787" i="16"/>
  <c r="D608" i="16"/>
  <c r="J260" i="16"/>
  <c r="E419" i="16"/>
  <c r="F371" i="16"/>
  <c r="J810" i="16"/>
  <c r="F594" i="16"/>
  <c r="J1158" i="16"/>
  <c r="J792" i="16"/>
  <c r="J771" i="16"/>
  <c r="H792" i="16"/>
  <c r="H347" i="16"/>
  <c r="G1164" i="16"/>
  <c r="J988" i="16"/>
  <c r="J1132" i="16"/>
  <c r="H1208" i="16"/>
  <c r="G1008" i="16"/>
  <c r="G1072" i="16"/>
  <c r="E810" i="16"/>
  <c r="H1132" i="16"/>
  <c r="E634" i="16"/>
  <c r="J1162" i="16"/>
  <c r="F425" i="16"/>
  <c r="G634" i="16"/>
  <c r="J425" i="16"/>
  <c r="F639" i="16"/>
  <c r="J1040" i="16"/>
  <c r="J1171" i="16"/>
  <c r="I976" i="16"/>
  <c r="F544" i="16"/>
  <c r="G260" i="16"/>
  <c r="G608" i="16"/>
  <c r="H608" i="16"/>
  <c r="E787" i="16"/>
  <c r="I260" i="16"/>
  <c r="G371" i="16"/>
  <c r="H810" i="16"/>
  <c r="G594" i="16"/>
  <c r="I1158" i="16"/>
  <c r="I459" i="16"/>
  <c r="D771" i="16"/>
  <c r="I792" i="16"/>
  <c r="H988" i="16"/>
  <c r="F347" i="16"/>
  <c r="F1164" i="16"/>
  <c r="I988" i="16"/>
  <c r="F474" i="16"/>
  <c r="E347" i="16"/>
  <c r="F1227" i="16"/>
  <c r="E1208" i="16"/>
  <c r="J768" i="16"/>
  <c r="J1008" i="16"/>
  <c r="E792" i="16"/>
  <c r="J634" i="16"/>
  <c r="E425" i="16"/>
  <c r="U425" i="16" s="1"/>
  <c r="E594" i="16"/>
  <c r="E441" i="16"/>
  <c r="I1171" i="16"/>
  <c r="J875" i="16"/>
  <c r="I769" i="16"/>
  <c r="F787" i="16"/>
  <c r="E260" i="16"/>
  <c r="H771" i="16"/>
  <c r="I371" i="16"/>
  <c r="I313" i="16"/>
  <c r="E771" i="16"/>
  <c r="F792" i="16"/>
  <c r="D347" i="16"/>
  <c r="F988" i="16"/>
  <c r="D474" i="16"/>
  <c r="U474" i="16" s="1"/>
  <c r="J474" i="16"/>
  <c r="E1008" i="16"/>
  <c r="E823" i="16"/>
  <c r="I440" i="16"/>
  <c r="Y1207" i="16"/>
  <c r="F626" i="16"/>
  <c r="J697" i="16"/>
  <c r="C12" i="10"/>
  <c r="H61" i="10"/>
  <c r="C4" i="10"/>
  <c r="D338" i="16"/>
  <c r="H1139" i="16"/>
  <c r="F441" i="16"/>
  <c r="E1040" i="16"/>
  <c r="H875" i="16"/>
  <c r="I1069" i="16"/>
  <c r="J990" i="16"/>
  <c r="H849" i="16"/>
  <c r="F330" i="16"/>
  <c r="H739" i="16"/>
  <c r="G959" i="16"/>
  <c r="E715" i="16"/>
  <c r="I451" i="16"/>
  <c r="D419" i="16"/>
  <c r="G265" i="16"/>
  <c r="H1074" i="16"/>
  <c r="I388" i="16"/>
  <c r="J506" i="16"/>
  <c r="F1074" i="16"/>
  <c r="D1202" i="16"/>
  <c r="J1219" i="16"/>
  <c r="J642" i="16"/>
  <c r="E642" i="16"/>
  <c r="F428" i="16"/>
  <c r="J384" i="16"/>
  <c r="G1081" i="16"/>
  <c r="E338" i="16"/>
  <c r="D1140" i="16"/>
  <c r="J527" i="16"/>
  <c r="H1219" i="16"/>
  <c r="D1219" i="16"/>
  <c r="U1219" i="16" s="1"/>
  <c r="E282" i="16"/>
  <c r="F527" i="16"/>
  <c r="I527" i="16"/>
  <c r="F696" i="16"/>
  <c r="I1139" i="16"/>
  <c r="H1051" i="16"/>
  <c r="J441" i="16"/>
  <c r="F1040" i="16"/>
  <c r="D1069" i="16"/>
  <c r="U1069" i="16" s="1"/>
  <c r="F990" i="16"/>
  <c r="J1154" i="16"/>
  <c r="D911" i="16"/>
  <c r="J739" i="16"/>
  <c r="G715" i="16"/>
  <c r="H321" i="16"/>
  <c r="I419" i="16"/>
  <c r="D265" i="16"/>
  <c r="U265" i="16" s="1"/>
  <c r="F506" i="16"/>
  <c r="D1074" i="16"/>
  <c r="U1074" i="16" s="1"/>
  <c r="I1202" i="16"/>
  <c r="I850" i="16"/>
  <c r="E384" i="16"/>
  <c r="H895" i="16"/>
  <c r="E990" i="16"/>
  <c r="U990" i="16" s="1"/>
  <c r="D1081" i="16"/>
  <c r="F338" i="16"/>
  <c r="F1140" i="16"/>
  <c r="D282" i="16"/>
  <c r="J282" i="16"/>
  <c r="I1051" i="16"/>
  <c r="J945" i="16"/>
  <c r="D612" i="16"/>
  <c r="U612" i="16" s="1"/>
  <c r="F945" i="16"/>
  <c r="I612" i="16"/>
  <c r="G612" i="16"/>
  <c r="I441" i="16"/>
  <c r="I1040" i="16"/>
  <c r="E1202" i="16"/>
  <c r="U1202" i="16" s="1"/>
  <c r="I739" i="16"/>
  <c r="H715" i="16"/>
  <c r="J451" i="16"/>
  <c r="D321" i="16"/>
  <c r="U321" i="16" s="1"/>
  <c r="H432" i="16"/>
  <c r="G506" i="16"/>
  <c r="F388" i="16"/>
  <c r="D388" i="16"/>
  <c r="H850" i="16"/>
  <c r="I418" i="16"/>
  <c r="F850" i="16"/>
  <c r="D297" i="16"/>
  <c r="I384" i="16"/>
  <c r="J895" i="16"/>
  <c r="I1081" i="16"/>
  <c r="H338" i="16"/>
  <c r="H1140" i="16"/>
  <c r="D418" i="16"/>
  <c r="I282" i="16"/>
  <c r="G945" i="16"/>
  <c r="G1051" i="16"/>
  <c r="H945" i="16"/>
  <c r="E799" i="16"/>
  <c r="J612" i="16"/>
  <c r="D441" i="16"/>
  <c r="D1040" i="16"/>
  <c r="H1202" i="16"/>
  <c r="G1069" i="16"/>
  <c r="I911" i="16"/>
  <c r="J715" i="16"/>
  <c r="H428" i="16"/>
  <c r="D432" i="16"/>
  <c r="E388" i="16"/>
  <c r="D850" i="16"/>
  <c r="U850" i="16" s="1"/>
  <c r="E895" i="16"/>
  <c r="D959" i="16"/>
  <c r="U959" i="16" s="1"/>
  <c r="F1089" i="16"/>
  <c r="H1081" i="16"/>
  <c r="G282" i="16"/>
  <c r="E1140" i="16"/>
  <c r="U1140" i="16" s="1"/>
  <c r="G418" i="16"/>
  <c r="J696" i="16"/>
  <c r="D1051" i="16"/>
  <c r="E696" i="16"/>
  <c r="U696" i="16" s="1"/>
  <c r="G799" i="16"/>
  <c r="H441" i="16"/>
  <c r="H1040" i="16"/>
  <c r="F1202" i="16"/>
  <c r="F799" i="16"/>
  <c r="G451" i="16"/>
  <c r="G428" i="16"/>
  <c r="E432" i="16"/>
  <c r="J1074" i="16"/>
  <c r="H388" i="16"/>
  <c r="G850" i="16"/>
  <c r="H297" i="16"/>
  <c r="H642" i="16"/>
  <c r="F297" i="16"/>
  <c r="F895" i="16"/>
  <c r="J959" i="16"/>
  <c r="G1089" i="16"/>
  <c r="F282" i="16"/>
  <c r="J1140" i="16"/>
  <c r="F418" i="16"/>
  <c r="G338" i="16"/>
  <c r="F419" i="16"/>
  <c r="I959" i="16"/>
  <c r="H419" i="16"/>
  <c r="D428" i="16"/>
  <c r="U428" i="16" s="1"/>
  <c r="G388" i="16"/>
  <c r="F451" i="16"/>
  <c r="F642" i="16"/>
  <c r="J297" i="16"/>
  <c r="I1074" i="16"/>
  <c r="J432" i="16"/>
  <c r="J1089" i="16"/>
  <c r="E1081" i="16"/>
  <c r="J850" i="16"/>
  <c r="F384" i="16"/>
  <c r="E1051" i="16"/>
  <c r="I506" i="16"/>
  <c r="D384" i="16"/>
  <c r="D895" i="16"/>
  <c r="U895" i="16" s="1"/>
  <c r="G432" i="16"/>
  <c r="D1089" i="16"/>
  <c r="E1155" i="16"/>
  <c r="U1155" i="16" s="1"/>
  <c r="S958" i="16"/>
  <c r="G958" i="16" s="1"/>
  <c r="S1255" i="16"/>
  <c r="G1255" i="16" s="1"/>
  <c r="S1215" i="16"/>
  <c r="G1215" i="16" s="1"/>
  <c r="Y1215" i="16"/>
  <c r="Y1167" i="16"/>
  <c r="S1167" i="16"/>
  <c r="G1167" i="16" s="1"/>
  <c r="G1095" i="16"/>
  <c r="D1095" i="16"/>
  <c r="E1095" i="16"/>
  <c r="I1095" i="16"/>
  <c r="H1095" i="16"/>
  <c r="J1095" i="16"/>
  <c r="F1095" i="16"/>
  <c r="Y1047" i="16"/>
  <c r="S1047" i="16"/>
  <c r="S999" i="16"/>
  <c r="G999" i="16" s="1"/>
  <c r="Y999" i="16"/>
  <c r="S942" i="16"/>
  <c r="Y942" i="16"/>
  <c r="S894" i="16"/>
  <c r="G894" i="16" s="1"/>
  <c r="Y894" i="16"/>
  <c r="S838" i="16"/>
  <c r="G838" i="16" s="1"/>
  <c r="Y838" i="16"/>
  <c r="I774" i="16"/>
  <c r="J774" i="16"/>
  <c r="E774" i="16"/>
  <c r="F774" i="16"/>
  <c r="H774" i="16"/>
  <c r="D774" i="16"/>
  <c r="S726" i="16"/>
  <c r="G726" i="16" s="1"/>
  <c r="S678" i="16"/>
  <c r="Y678" i="16"/>
  <c r="S638" i="16"/>
  <c r="G638" i="16" s="1"/>
  <c r="S598" i="16"/>
  <c r="G598" i="16" s="1"/>
  <c r="Y598" i="16"/>
  <c r="Y566" i="16"/>
  <c r="S566" i="16"/>
  <c r="G566" i="16"/>
  <c r="S518" i="16"/>
  <c r="G518" i="16" s="1"/>
  <c r="S470" i="16"/>
  <c r="Y470" i="16"/>
  <c r="Y374" i="16"/>
  <c r="S374" i="16"/>
  <c r="F374" i="16" s="1"/>
  <c r="S326" i="16"/>
  <c r="G326" i="16" s="1"/>
  <c r="Y326" i="16"/>
  <c r="S278" i="16"/>
  <c r="G278" i="16" s="1"/>
  <c r="Y278" i="16"/>
  <c r="S1271" i="16"/>
  <c r="G1271" i="16" s="1"/>
  <c r="Y1271" i="16"/>
  <c r="S1223" i="16"/>
  <c r="G1223" i="16" s="1"/>
  <c r="Y1223" i="16"/>
  <c r="S1183" i="16"/>
  <c r="G1183" i="16" s="1"/>
  <c r="Y1135" i="16"/>
  <c r="S1135" i="16"/>
  <c r="G1135" i="16" s="1"/>
  <c r="G1087" i="16"/>
  <c r="F1087" i="16"/>
  <c r="I1087" i="16"/>
  <c r="E1087" i="16"/>
  <c r="D1087" i="16"/>
  <c r="H1087" i="16"/>
  <c r="S1039" i="16"/>
  <c r="Y1039" i="16"/>
  <c r="S983" i="16"/>
  <c r="G983" i="16" s="1"/>
  <c r="Y983" i="16"/>
  <c r="S926" i="16"/>
  <c r="G926" i="16" s="1"/>
  <c r="S878" i="16"/>
  <c r="Y878" i="16"/>
  <c r="Y830" i="16"/>
  <c r="S790" i="16"/>
  <c r="G790" i="16" s="1"/>
  <c r="Y742" i="16"/>
  <c r="S742" i="16"/>
  <c r="S694" i="16"/>
  <c r="S646" i="16"/>
  <c r="G646" i="16"/>
  <c r="S590" i="16"/>
  <c r="G590" i="16" s="1"/>
  <c r="S542" i="16"/>
  <c r="Y542" i="16"/>
  <c r="S494" i="16"/>
  <c r="Y494" i="16"/>
  <c r="S446" i="16"/>
  <c r="G446" i="16" s="1"/>
  <c r="S398" i="16"/>
  <c r="Y398" i="16"/>
  <c r="S350" i="16"/>
  <c r="G350" i="16" s="1"/>
  <c r="S294" i="16"/>
  <c r="G294" i="16" s="1"/>
  <c r="Y294" i="16"/>
  <c r="G1207" i="16"/>
  <c r="G662" i="16"/>
  <c r="S1247" i="16"/>
  <c r="G1247" i="16" s="1"/>
  <c r="Y1247" i="16"/>
  <c r="S1199" i="16"/>
  <c r="Y1199" i="16"/>
  <c r="S1159" i="16"/>
  <c r="G1159" i="16" s="1"/>
  <c r="S1119" i="16"/>
  <c r="G1119" i="16" s="1"/>
  <c r="S1071" i="16"/>
  <c r="G1071" i="16" s="1"/>
  <c r="S1023" i="16"/>
  <c r="G1023" i="16" s="1"/>
  <c r="Y1023" i="16"/>
  <c r="S975" i="16"/>
  <c r="G975" i="16" s="1"/>
  <c r="Y975" i="16"/>
  <c r="S918" i="16"/>
  <c r="G918" i="16" s="1"/>
  <c r="S870" i="16"/>
  <c r="G870" i="16" s="1"/>
  <c r="G814" i="16"/>
  <c r="I814" i="16"/>
  <c r="F814" i="16"/>
  <c r="D814" i="16"/>
  <c r="S766" i="16"/>
  <c r="G766" i="16" s="1"/>
  <c r="S710" i="16"/>
  <c r="G710" i="16" s="1"/>
  <c r="Y710" i="16"/>
  <c r="S670" i="16"/>
  <c r="G670" i="16" s="1"/>
  <c r="Y670" i="16"/>
  <c r="S622" i="16"/>
  <c r="G622" i="16" s="1"/>
  <c r="S582" i="16"/>
  <c r="G582" i="16" s="1"/>
  <c r="Y582" i="16"/>
  <c r="S534" i="16"/>
  <c r="G534" i="16" s="1"/>
  <c r="S478" i="16"/>
  <c r="G478" i="16" s="1"/>
  <c r="S430" i="16"/>
  <c r="G430" i="16" s="1"/>
  <c r="Y430" i="16"/>
  <c r="S382" i="16"/>
  <c r="Y382" i="16"/>
  <c r="G382" i="16"/>
  <c r="Y334" i="16"/>
  <c r="S334" i="16"/>
  <c r="S286" i="16"/>
  <c r="G286" i="16" s="1"/>
  <c r="Y286" i="16"/>
  <c r="J1087" i="16"/>
  <c r="G398" i="16"/>
  <c r="S1263" i="16"/>
  <c r="G1263" i="16" s="1"/>
  <c r="S1239" i="16"/>
  <c r="G1239" i="16" s="1"/>
  <c r="Y1239" i="16"/>
  <c r="S1191" i="16"/>
  <c r="Y1191" i="16"/>
  <c r="G1191" i="16"/>
  <c r="S1143" i="16"/>
  <c r="G1143" i="16"/>
  <c r="S1103" i="16"/>
  <c r="G1103" i="16" s="1"/>
  <c r="S1055" i="16"/>
  <c r="G1055" i="16" s="1"/>
  <c r="S1007" i="16"/>
  <c r="G1007" i="16" s="1"/>
  <c r="Y1007" i="16"/>
  <c r="S910" i="16"/>
  <c r="F910" i="16" s="1"/>
  <c r="Y910" i="16"/>
  <c r="S862" i="16"/>
  <c r="Y862" i="16"/>
  <c r="S782" i="16"/>
  <c r="G782" i="16"/>
  <c r="Y734" i="16"/>
  <c r="S734" i="16"/>
  <c r="S686" i="16"/>
  <c r="G686" i="16" s="1"/>
  <c r="Y686" i="16"/>
  <c r="S510" i="16"/>
  <c r="G510" i="16" s="1"/>
  <c r="S462" i="16"/>
  <c r="G462" i="16" s="1"/>
  <c r="S366" i="16"/>
  <c r="G366" i="16" s="1"/>
  <c r="Y366" i="16"/>
  <c r="S318" i="16"/>
  <c r="G318" i="16" s="1"/>
  <c r="Y318" i="16"/>
  <c r="G1231" i="16"/>
  <c r="E1231" i="16"/>
  <c r="S1175" i="16"/>
  <c r="G1175" i="16" s="1"/>
  <c r="S1127" i="16"/>
  <c r="S1079" i="16"/>
  <c r="G1079" i="16" s="1"/>
  <c r="S1031" i="16"/>
  <c r="G1031" i="16" s="1"/>
  <c r="S991" i="16"/>
  <c r="G991" i="16" s="1"/>
  <c r="S934" i="16"/>
  <c r="S886" i="16"/>
  <c r="G886" i="16"/>
  <c r="S846" i="16"/>
  <c r="G846" i="16" s="1"/>
  <c r="S798" i="16"/>
  <c r="G798" i="16" s="1"/>
  <c r="S750" i="16"/>
  <c r="Y750" i="16"/>
  <c r="S702" i="16"/>
  <c r="G702" i="16" s="1"/>
  <c r="Y702" i="16"/>
  <c r="S654" i="16"/>
  <c r="G654" i="16" s="1"/>
  <c r="S606" i="16"/>
  <c r="Y606" i="16"/>
  <c r="G550" i="16"/>
  <c r="D550" i="16"/>
  <c r="H550" i="16"/>
  <c r="I550" i="16"/>
  <c r="E550" i="16"/>
  <c r="J550" i="16"/>
  <c r="F550" i="16"/>
  <c r="S454" i="16"/>
  <c r="G454" i="16" s="1"/>
  <c r="S390" i="16"/>
  <c r="G390" i="16" s="1"/>
  <c r="Y390" i="16"/>
  <c r="S342" i="16"/>
  <c r="G342" i="16" s="1"/>
  <c r="Y342" i="16"/>
  <c r="S302" i="16"/>
  <c r="G302" i="16" s="1"/>
  <c r="Y302" i="16"/>
  <c r="G862" i="16"/>
  <c r="G1189" i="16"/>
  <c r="E1189" i="16"/>
  <c r="D1189" i="16"/>
  <c r="J1189" i="16"/>
  <c r="I1189" i="16"/>
  <c r="H1189" i="16"/>
  <c r="S830" i="16"/>
  <c r="S1280" i="16"/>
  <c r="G1280" i="16" s="1"/>
  <c r="F1207" i="16"/>
  <c r="I1207" i="16"/>
  <c r="H1207" i="16"/>
  <c r="J1207" i="16"/>
  <c r="E1207" i="16"/>
  <c r="D1207" i="16"/>
  <c r="S1151" i="16"/>
  <c r="G1151" i="16" s="1"/>
  <c r="Y1151" i="16"/>
  <c r="S1111" i="16"/>
  <c r="G1111" i="16" s="1"/>
  <c r="Y1111" i="16"/>
  <c r="Y1063" i="16"/>
  <c r="S1063" i="16"/>
  <c r="G1063" i="16" s="1"/>
  <c r="S1015" i="16"/>
  <c r="G1015" i="16" s="1"/>
  <c r="Y1015" i="16"/>
  <c r="S967" i="16"/>
  <c r="Y967" i="16"/>
  <c r="S902" i="16"/>
  <c r="G902" i="16" s="1"/>
  <c r="S854" i="16"/>
  <c r="Y854" i="16"/>
  <c r="S806" i="16"/>
  <c r="G806" i="16" s="1"/>
  <c r="S758" i="16"/>
  <c r="Y758" i="16"/>
  <c r="S718" i="16"/>
  <c r="G718" i="16" s="1"/>
  <c r="F662" i="16"/>
  <c r="J662" i="16"/>
  <c r="H662" i="16"/>
  <c r="D662" i="16"/>
  <c r="E662" i="16"/>
  <c r="S614" i="16"/>
  <c r="G614" i="16" s="1"/>
  <c r="Y574" i="16"/>
  <c r="S574" i="16"/>
  <c r="G574" i="16" s="1"/>
  <c r="S526" i="16"/>
  <c r="G526" i="16" s="1"/>
  <c r="S486" i="16"/>
  <c r="Y486" i="16"/>
  <c r="Y438" i="16"/>
  <c r="S438" i="16"/>
  <c r="S406" i="16"/>
  <c r="G406" i="16" s="1"/>
  <c r="S358" i="16"/>
  <c r="G358" i="16" s="1"/>
  <c r="S310" i="16"/>
  <c r="Y310" i="16"/>
  <c r="S262" i="16"/>
  <c r="G262" i="16" s="1"/>
  <c r="I662" i="16"/>
  <c r="Y1079" i="16"/>
  <c r="H743" i="16"/>
  <c r="I743" i="16"/>
  <c r="J743" i="16"/>
  <c r="H753" i="16"/>
  <c r="D753" i="16"/>
  <c r="G753" i="16"/>
  <c r="F753" i="16"/>
  <c r="E753" i="16"/>
  <c r="G380" i="16"/>
  <c r="D746" i="16"/>
  <c r="G407" i="16"/>
  <c r="J753" i="16"/>
  <c r="E607" i="16"/>
  <c r="F607" i="16"/>
  <c r="J607" i="16"/>
  <c r="I607" i="16"/>
  <c r="H607" i="16"/>
  <c r="G607" i="16"/>
  <c r="D607" i="16"/>
  <c r="J380" i="16"/>
  <c r="I407" i="16"/>
  <c r="G299" i="16"/>
  <c r="I299" i="16"/>
  <c r="H500" i="16"/>
  <c r="G500" i="16"/>
  <c r="I500" i="16"/>
  <c r="E500" i="16"/>
  <c r="U500" i="16" s="1"/>
  <c r="I556" i="16"/>
  <c r="H556" i="16"/>
  <c r="G514" i="16"/>
  <c r="D514" i="16"/>
  <c r="I514" i="16"/>
  <c r="F514" i="16"/>
  <c r="E514" i="16"/>
  <c r="I803" i="16"/>
  <c r="F407" i="16"/>
  <c r="G746" i="16"/>
  <c r="I753" i="16"/>
  <c r="F380" i="16"/>
  <c r="F803" i="16"/>
  <c r="E407" i="16"/>
  <c r="U407" i="16" s="1"/>
  <c r="D380" i="16"/>
  <c r="U380" i="16" s="1"/>
  <c r="E746" i="16"/>
  <c r="F743" i="16"/>
  <c r="D803" i="16"/>
  <c r="E743" i="16"/>
  <c r="J746" i="16"/>
  <c r="D743" i="16"/>
  <c r="H803" i="16"/>
  <c r="F519" i="16"/>
  <c r="H519" i="16"/>
  <c r="E519" i="16"/>
  <c r="U519" i="16" s="1"/>
  <c r="E297" i="16"/>
  <c r="I297" i="16"/>
  <c r="D1201" i="16"/>
  <c r="U1201" i="16" s="1"/>
  <c r="Y1263" i="16"/>
  <c r="Y1255" i="16"/>
  <c r="Y1183" i="16"/>
  <c r="Y1175" i="16"/>
  <c r="Y1143" i="16"/>
  <c r="Y1127" i="16"/>
  <c r="Y1103" i="16"/>
  <c r="Y1095" i="16"/>
  <c r="Y1087" i="16"/>
  <c r="Y1071" i="16"/>
  <c r="Y1055" i="16"/>
  <c r="Y991" i="16"/>
  <c r="Y958" i="16"/>
  <c r="Y934" i="16"/>
  <c r="Y926" i="16"/>
  <c r="Y918" i="16"/>
  <c r="Y902" i="16"/>
  <c r="Y886" i="16"/>
  <c r="Y870" i="16"/>
  <c r="Y846" i="16"/>
  <c r="Y790" i="16"/>
  <c r="Y782" i="16"/>
  <c r="Y774" i="16"/>
  <c r="Y766" i="16"/>
  <c r="Y726" i="16"/>
  <c r="Y718" i="16"/>
  <c r="Y662" i="16"/>
  <c r="Y654" i="16"/>
  <c r="Y646" i="16"/>
  <c r="Y638" i="16"/>
  <c r="Y630" i="16"/>
  <c r="Y622" i="16"/>
  <c r="Y614" i="16"/>
  <c r="Y558" i="16"/>
  <c r="Y550" i="16"/>
  <c r="Y534" i="16"/>
  <c r="Y462" i="16"/>
  <c r="Y454" i="16"/>
  <c r="Y446" i="16"/>
  <c r="Y406" i="16"/>
  <c r="Y358" i="16"/>
  <c r="Y350" i="16"/>
  <c r="Y262" i="16"/>
  <c r="Y1230" i="16"/>
  <c r="Y1118" i="16"/>
  <c r="Y990" i="16"/>
  <c r="Y965" i="16"/>
  <c r="Y549" i="16"/>
  <c r="D683" i="16"/>
  <c r="U683" i="16" s="1"/>
  <c r="Y1181" i="16"/>
  <c r="Y1037" i="16"/>
  <c r="Y900" i="16"/>
  <c r="Y836" i="16"/>
  <c r="J1192" i="16"/>
  <c r="G1192" i="16"/>
  <c r="D1192" i="16"/>
  <c r="F1192" i="16"/>
  <c r="H1192" i="16"/>
  <c r="E1192" i="16"/>
  <c r="I1192" i="16"/>
  <c r="D640" i="16"/>
  <c r="F640" i="16"/>
  <c r="H640" i="16"/>
  <c r="E640" i="16"/>
  <c r="I924" i="16"/>
  <c r="F924" i="16"/>
  <c r="G1221" i="16"/>
  <c r="F1221" i="16"/>
  <c r="E911" i="16"/>
  <c r="J911" i="16"/>
  <c r="F778" i="16"/>
  <c r="E778" i="16"/>
  <c r="G778" i="16"/>
  <c r="D778" i="16"/>
  <c r="J640" i="16"/>
  <c r="E1195" i="16"/>
  <c r="U1195" i="16" s="1"/>
  <c r="J1195" i="16"/>
  <c r="G530" i="16"/>
  <c r="J530" i="16"/>
  <c r="G837" i="16"/>
  <c r="J837" i="16"/>
  <c r="E837" i="16"/>
  <c r="U837" i="16" s="1"/>
  <c r="D566" i="16"/>
  <c r="J566" i="16"/>
  <c r="I351" i="16"/>
  <c r="F351" i="16"/>
  <c r="J351" i="16"/>
  <c r="H351" i="16"/>
  <c r="D351" i="16"/>
  <c r="U351" i="16" s="1"/>
  <c r="I1236" i="16"/>
  <c r="D1236" i="16"/>
  <c r="U1236" i="16" s="1"/>
  <c r="S1279" i="16"/>
  <c r="Y1279" i="16"/>
  <c r="S1278" i="16"/>
  <c r="G1278" i="16" s="1"/>
  <c r="S1262" i="16"/>
  <c r="S1254" i="16"/>
  <c r="G1254" i="16" s="1"/>
  <c r="S1246" i="16"/>
  <c r="Y1246" i="16"/>
  <c r="S1238" i="16"/>
  <c r="G1238" i="16" s="1"/>
  <c r="Y1238" i="16"/>
  <c r="S1206" i="16"/>
  <c r="G1206" i="16" s="1"/>
  <c r="Y1206" i="16"/>
  <c r="S1174" i="16"/>
  <c r="Y1174" i="16"/>
  <c r="S1150" i="16"/>
  <c r="G1150" i="16" s="1"/>
  <c r="Y1150" i="16"/>
  <c r="S1142" i="16"/>
  <c r="Y1142" i="16"/>
  <c r="S1134" i="16"/>
  <c r="G1134" i="16" s="1"/>
  <c r="S1126" i="16"/>
  <c r="Y1126" i="16"/>
  <c r="Y1110" i="16"/>
  <c r="S1110" i="16"/>
  <c r="S1102" i="16"/>
  <c r="Y1102" i="16"/>
  <c r="S1094" i="16"/>
  <c r="G1094" i="16" s="1"/>
  <c r="Y1094" i="16"/>
  <c r="S1086" i="16"/>
  <c r="G1086" i="16" s="1"/>
  <c r="Y1086" i="16"/>
  <c r="S1078" i="16"/>
  <c r="Y1078" i="16"/>
  <c r="S1070" i="16"/>
  <c r="G1070" i="16" s="1"/>
  <c r="Y1070" i="16"/>
  <c r="S1062" i="16"/>
  <c r="Y1062" i="16"/>
  <c r="S1054" i="16"/>
  <c r="G1054" i="16"/>
  <c r="S1046" i="16"/>
  <c r="Y1046" i="16"/>
  <c r="S1038" i="16"/>
  <c r="Y1038" i="16"/>
  <c r="S1014" i="16"/>
  <c r="Y1014" i="16"/>
  <c r="F1006" i="16"/>
  <c r="D1006" i="16"/>
  <c r="U1006" i="16" s="1"/>
  <c r="J1006" i="16"/>
  <c r="I1006" i="16"/>
  <c r="S998" i="16"/>
  <c r="G998" i="16" s="1"/>
  <c r="Y998" i="16"/>
  <c r="D982" i="16"/>
  <c r="U982" i="16" s="1"/>
  <c r="H982" i="16"/>
  <c r="I982" i="16"/>
  <c r="J982" i="16"/>
  <c r="F982" i="16"/>
  <c r="S974" i="16"/>
  <c r="Y974" i="16"/>
  <c r="S949" i="16"/>
  <c r="Y949" i="16"/>
  <c r="S941" i="16"/>
  <c r="Y941" i="16"/>
  <c r="S925" i="16"/>
  <c r="Y925" i="16"/>
  <c r="S901" i="16"/>
  <c r="G901" i="16" s="1"/>
  <c r="Y901" i="16"/>
  <c r="S893" i="16"/>
  <c r="G893" i="16" s="1"/>
  <c r="S861" i="16"/>
  <c r="Y861" i="16"/>
  <c r="S853" i="16"/>
  <c r="G853" i="16" s="1"/>
  <c r="Y853" i="16"/>
  <c r="S845" i="16"/>
  <c r="Y845" i="16"/>
  <c r="S821" i="16"/>
  <c r="Y821" i="16"/>
  <c r="S813" i="16"/>
  <c r="Y813" i="16"/>
  <c r="S805" i="16"/>
  <c r="G805" i="16" s="1"/>
  <c r="S773" i="16"/>
  <c r="Y773" i="16"/>
  <c r="I765" i="16"/>
  <c r="F765" i="16"/>
  <c r="E765" i="16"/>
  <c r="U765" i="16" s="1"/>
  <c r="S749" i="16"/>
  <c r="G749" i="16" s="1"/>
  <c r="S741" i="16"/>
  <c r="Y741" i="16"/>
  <c r="S717" i="16"/>
  <c r="D709" i="16"/>
  <c r="I709" i="16"/>
  <c r="F709" i="16"/>
  <c r="E709" i="16"/>
  <c r="F701" i="16"/>
  <c r="H701" i="16"/>
  <c r="S693" i="16"/>
  <c r="S685" i="16"/>
  <c r="Y685" i="16"/>
  <c r="S677" i="16"/>
  <c r="G677" i="16" s="1"/>
  <c r="Y677" i="16"/>
  <c r="D669" i="16"/>
  <c r="E669" i="16"/>
  <c r="F669" i="16"/>
  <c r="S661" i="16"/>
  <c r="Y661" i="16"/>
  <c r="S653" i="16"/>
  <c r="Y653" i="16"/>
  <c r="S637" i="16"/>
  <c r="G637" i="16" s="1"/>
  <c r="Y637" i="16"/>
  <c r="S629" i="16"/>
  <c r="S621" i="16"/>
  <c r="Y621" i="16"/>
  <c r="I613" i="16"/>
  <c r="D613" i="16"/>
  <c r="J613" i="16"/>
  <c r="D605" i="16"/>
  <c r="U605" i="16" s="1"/>
  <c r="J605" i="16"/>
  <c r="S597" i="16"/>
  <c r="Y597" i="16"/>
  <c r="S573" i="16"/>
  <c r="G573" i="16" s="1"/>
  <c r="S541" i="16"/>
  <c r="G541" i="16" s="1"/>
  <c r="Y525" i="16"/>
  <c r="S525" i="16"/>
  <c r="I525" i="16" s="1"/>
  <c r="S509" i="16"/>
  <c r="Y509" i="16"/>
  <c r="S501" i="16"/>
  <c r="G501" i="16" s="1"/>
  <c r="S493" i="16"/>
  <c r="Y493" i="16"/>
  <c r="S477" i="16"/>
  <c r="Y477" i="16"/>
  <c r="I469" i="16"/>
  <c r="J469" i="16"/>
  <c r="Y461" i="16"/>
  <c r="S461" i="16"/>
  <c r="E445" i="16"/>
  <c r="J445" i="16"/>
  <c r="G429" i="16"/>
  <c r="E429" i="16"/>
  <c r="H429" i="16"/>
  <c r="D429" i="16"/>
  <c r="F429" i="16"/>
  <c r="J429" i="16"/>
  <c r="I429" i="16"/>
  <c r="S421" i="16"/>
  <c r="Y421" i="16"/>
  <c r="I405" i="16"/>
  <c r="D405" i="16"/>
  <c r="E405" i="16"/>
  <c r="H405" i="16"/>
  <c r="S397" i="16"/>
  <c r="J389" i="16"/>
  <c r="D389" i="16"/>
  <c r="S381" i="16"/>
  <c r="S373" i="16"/>
  <c r="Y373" i="16"/>
  <c r="S365" i="16"/>
  <c r="Y365" i="16"/>
  <c r="S357" i="16"/>
  <c r="Y357" i="16"/>
  <c r="S349" i="16"/>
  <c r="G349" i="16" s="1"/>
  <c r="S341" i="16"/>
  <c r="G341" i="16" s="1"/>
  <c r="Y341" i="16"/>
  <c r="S309" i="16"/>
  <c r="Y309" i="16"/>
  <c r="S277" i="16"/>
  <c r="G277" i="16" s="1"/>
  <c r="Y277" i="16"/>
  <c r="E261" i="16"/>
  <c r="U261" i="16" s="1"/>
  <c r="J261" i="16"/>
  <c r="I261" i="16"/>
  <c r="F261" i="16"/>
  <c r="I273" i="16"/>
  <c r="F711" i="16"/>
  <c r="H711" i="16"/>
  <c r="G601" i="16"/>
  <c r="J601" i="16"/>
  <c r="F601" i="16"/>
  <c r="E601" i="16"/>
  <c r="U601" i="16" s="1"/>
  <c r="I432" i="16"/>
  <c r="D965" i="16"/>
  <c r="I965" i="16"/>
  <c r="H965" i="16"/>
  <c r="G273" i="16"/>
  <c r="S1230" i="16"/>
  <c r="S1030" i="16"/>
  <c r="J1109" i="16"/>
  <c r="F1109" i="16"/>
  <c r="J815" i="16"/>
  <c r="E965" i="16"/>
  <c r="H273" i="16"/>
  <c r="G1046" i="16"/>
  <c r="E366" i="16"/>
  <c r="J366" i="16"/>
  <c r="I366" i="16"/>
  <c r="D366" i="16"/>
  <c r="G393" i="16"/>
  <c r="H393" i="16"/>
  <c r="D393" i="16"/>
  <c r="U393" i="16" s="1"/>
  <c r="J393" i="16"/>
  <c r="I810" i="16"/>
  <c r="D810" i="16"/>
  <c r="J790" i="16"/>
  <c r="F790" i="16"/>
  <c r="J1261" i="16"/>
  <c r="G1261" i="16"/>
  <c r="J545" i="16"/>
  <c r="E545" i="16"/>
  <c r="D545" i="16"/>
  <c r="F545" i="16"/>
  <c r="H545" i="16"/>
  <c r="F1080" i="16"/>
  <c r="J1080" i="16"/>
  <c r="G1287" i="16"/>
  <c r="H1287" i="16"/>
  <c r="G1205" i="16"/>
  <c r="G1125" i="16"/>
  <c r="I1125" i="16"/>
  <c r="G973" i="16"/>
  <c r="E973" i="16"/>
  <c r="J973" i="16"/>
  <c r="G964" i="16"/>
  <c r="I964" i="16"/>
  <c r="D964" i="16"/>
  <c r="F964" i="16"/>
  <c r="H964" i="16"/>
  <c r="H956" i="16"/>
  <c r="J956" i="16"/>
  <c r="I956" i="16"/>
  <c r="I644" i="16"/>
  <c r="F644" i="16"/>
  <c r="G644" i="16"/>
  <c r="H572" i="16"/>
  <c r="F572" i="16"/>
  <c r="J436" i="16"/>
  <c r="D358" i="16"/>
  <c r="J358" i="16"/>
  <c r="J305" i="16"/>
  <c r="H305" i="16"/>
  <c r="F831" i="16"/>
  <c r="I831" i="16"/>
  <c r="G831" i="16"/>
  <c r="J831" i="16"/>
  <c r="D831" i="16"/>
  <c r="I1080" i="16"/>
  <c r="D591" i="16"/>
  <c r="H591" i="16"/>
  <c r="I926" i="16"/>
  <c r="F926" i="16"/>
  <c r="E932" i="16"/>
  <c r="U932" i="16" s="1"/>
  <c r="Y860" i="16"/>
  <c r="J981" i="16"/>
  <c r="S900" i="16"/>
  <c r="Y932" i="16"/>
  <c r="Y820" i="16"/>
  <c r="Y468" i="16"/>
  <c r="Y1262" i="16"/>
  <c r="Y1254" i="16"/>
  <c r="Y1214" i="16"/>
  <c r="Y885" i="16"/>
  <c r="Y733" i="16"/>
  <c r="Y725" i="16"/>
  <c r="Y717" i="16"/>
  <c r="Y573" i="16"/>
  <c r="Y565" i="16"/>
  <c r="Y557" i="16"/>
  <c r="Y541" i="16"/>
  <c r="Y453" i="16"/>
  <c r="Y445" i="16"/>
  <c r="Y437" i="16"/>
  <c r="Y413" i="16"/>
  <c r="Y333" i="16"/>
  <c r="Y908" i="16"/>
  <c r="G981" i="16"/>
  <c r="S1101" i="16"/>
  <c r="G1101" i="16" s="1"/>
  <c r="Y1277" i="16"/>
  <c r="Y1269" i="16"/>
  <c r="Y1261" i="16"/>
  <c r="Y1245" i="16"/>
  <c r="Y1205" i="16"/>
  <c r="Y1125" i="16"/>
  <c r="Y1117" i="16"/>
  <c r="Y1109" i="16"/>
  <c r="Y1045" i="16"/>
  <c r="Y948" i="16"/>
  <c r="Y756" i="16"/>
  <c r="Y724" i="16"/>
  <c r="Y700" i="16"/>
  <c r="Y684" i="16"/>
  <c r="Y644" i="16"/>
  <c r="Y580" i="16"/>
  <c r="Y564" i="16"/>
  <c r="Y348" i="16"/>
  <c r="Y292" i="16"/>
  <c r="Y844" i="16"/>
  <c r="I981" i="16"/>
  <c r="G908" i="16"/>
  <c r="Y973" i="16"/>
  <c r="Y708" i="16"/>
  <c r="Y484" i="16"/>
  <c r="F981" i="16"/>
  <c r="Y308" i="16"/>
  <c r="J932" i="16"/>
  <c r="E981" i="16"/>
  <c r="U981" i="16" s="1"/>
  <c r="Y1053" i="16"/>
  <c r="H716" i="16"/>
  <c r="H764" i="16"/>
  <c r="E588" i="16"/>
  <c r="U588" i="16" s="1"/>
  <c r="Y660" i="16"/>
  <c r="Y940" i="16"/>
  <c r="I1149" i="16"/>
  <c r="J1149" i="16"/>
  <c r="G1149" i="16"/>
  <c r="D1149" i="16"/>
  <c r="E1149" i="16"/>
  <c r="H1149" i="16"/>
  <c r="F1149" i="16"/>
  <c r="J1266" i="16"/>
  <c r="F1266" i="16"/>
  <c r="H1266" i="16"/>
  <c r="E1266" i="16"/>
  <c r="D1266" i="16"/>
  <c r="I1266" i="16"/>
  <c r="G1266" i="16"/>
  <c r="I748" i="16"/>
  <c r="H263" i="16"/>
  <c r="I263" i="16"/>
  <c r="J763" i="16"/>
  <c r="F742" i="16"/>
  <c r="J1231" i="16"/>
  <c r="G781" i="16"/>
  <c r="F873" i="16"/>
  <c r="G327" i="16"/>
  <c r="E826" i="16"/>
  <c r="D511" i="16"/>
  <c r="J334" i="16"/>
  <c r="J802" i="16"/>
  <c r="F748" i="16"/>
  <c r="I951" i="16"/>
  <c r="G666" i="16"/>
  <c r="D921" i="16"/>
  <c r="U921" i="16" s="1"/>
  <c r="D1008" i="16"/>
  <c r="U1008" i="16" s="1"/>
  <c r="I445" i="16"/>
  <c r="E412" i="16"/>
  <c r="H1141" i="16"/>
  <c r="D779" i="16"/>
  <c r="F262" i="16"/>
  <c r="G724" i="16"/>
  <c r="F921" i="16"/>
  <c r="E263" i="16"/>
  <c r="U263" i="16" s="1"/>
  <c r="E742" i="16"/>
  <c r="F1231" i="16"/>
  <c r="E781" i="16"/>
  <c r="J873" i="16"/>
  <c r="H327" i="16"/>
  <c r="F826" i="16"/>
  <c r="E511" i="16"/>
  <c r="F951" i="16"/>
  <c r="F443" i="16"/>
  <c r="J300" i="16"/>
  <c r="D781" i="16"/>
  <c r="D884" i="16"/>
  <c r="I921" i="16"/>
  <c r="J542" i="16"/>
  <c r="D445" i="16"/>
  <c r="D1276" i="16"/>
  <c r="U1276" i="16" s="1"/>
  <c r="E1141" i="16"/>
  <c r="U1141" i="16" s="1"/>
  <c r="I1163" i="16"/>
  <c r="I779" i="16"/>
  <c r="J779" i="16"/>
  <c r="D262" i="16"/>
  <c r="F1163" i="16"/>
  <c r="G517" i="16"/>
  <c r="G263" i="16"/>
  <c r="I786" i="16"/>
  <c r="G742" i="16"/>
  <c r="J910" i="16"/>
  <c r="F781" i="16"/>
  <c r="G873" i="16"/>
  <c r="I873" i="16"/>
  <c r="J327" i="16"/>
  <c r="I826" i="16"/>
  <c r="G826" i="16"/>
  <c r="H511" i="16"/>
  <c r="I1221" i="16"/>
  <c r="J781" i="16"/>
  <c r="G884" i="16"/>
  <c r="F666" i="16"/>
  <c r="D542" i="16"/>
  <c r="F1244" i="16"/>
  <c r="H412" i="16"/>
  <c r="J1276" i="16"/>
  <c r="I706" i="16"/>
  <c r="H779" i="16"/>
  <c r="F1276" i="16"/>
  <c r="D728" i="16"/>
  <c r="G648" i="16"/>
  <c r="H542" i="16"/>
  <c r="G412" i="16"/>
  <c r="H786" i="16"/>
  <c r="J498" i="16"/>
  <c r="H604" i="16"/>
  <c r="H884" i="16"/>
  <c r="F438" i="16"/>
  <c r="I781" i="16"/>
  <c r="G802" i="16"/>
  <c r="G511" i="16"/>
  <c r="E327" i="16"/>
  <c r="U327" i="16" s="1"/>
  <c r="F511" i="16"/>
  <c r="E873" i="16"/>
  <c r="U873" i="16" s="1"/>
  <c r="J511" i="16"/>
  <c r="I334" i="16"/>
  <c r="F706" i="16"/>
  <c r="E779" i="16"/>
  <c r="G487" i="16"/>
  <c r="H632" i="16"/>
  <c r="J728" i="16"/>
  <c r="H730" i="16"/>
  <c r="D763" i="16"/>
  <c r="U763" i="16" s="1"/>
  <c r="G786" i="16"/>
  <c r="G498" i="16"/>
  <c r="H742" i="16"/>
  <c r="E604" i="16"/>
  <c r="U604" i="16" s="1"/>
  <c r="I884" i="16"/>
  <c r="J438" i="16"/>
  <c r="G300" i="16"/>
  <c r="F802" i="16"/>
  <c r="H826" i="16"/>
  <c r="E443" i="16"/>
  <c r="U443" i="16" s="1"/>
  <c r="I763" i="16"/>
  <c r="G443" i="16"/>
  <c r="E334" i="16"/>
  <c r="H951" i="16"/>
  <c r="G924" i="16"/>
  <c r="H1231" i="16"/>
  <c r="G542" i="16"/>
  <c r="I818" i="16"/>
  <c r="D701" i="16"/>
  <c r="U701" i="16" s="1"/>
  <c r="F542" i="16"/>
  <c r="D594" i="16"/>
  <c r="U594" i="16" s="1"/>
  <c r="E1230" i="16"/>
  <c r="H487" i="16"/>
  <c r="J487" i="16"/>
  <c r="G779" i="16"/>
  <c r="J730" i="16"/>
  <c r="E667" i="16"/>
  <c r="H763" i="16"/>
  <c r="J786" i="16"/>
  <c r="I742" i="16"/>
  <c r="I604" i="16"/>
  <c r="E884" i="16"/>
  <c r="E802" i="16"/>
  <c r="U802" i="16" s="1"/>
  <c r="G438" i="16"/>
  <c r="H300" i="16"/>
  <c r="G951" i="16"/>
  <c r="E438" i="16"/>
  <c r="D826" i="16"/>
  <c r="H443" i="16"/>
  <c r="F334" i="16"/>
  <c r="H1221" i="16"/>
  <c r="D1221" i="16"/>
  <c r="D1231" i="16"/>
  <c r="U1231" i="16" s="1"/>
  <c r="G730" i="16"/>
  <c r="F1141" i="16"/>
  <c r="E706" i="16"/>
  <c r="U706" i="16" s="1"/>
  <c r="D752" i="16"/>
  <c r="U752" i="16" s="1"/>
  <c r="J701" i="16"/>
  <c r="D1256" i="16"/>
  <c r="U1256" i="16" s="1"/>
  <c r="D1230" i="16"/>
  <c r="F728" i="16"/>
  <c r="D832" i="16"/>
  <c r="J921" i="16"/>
  <c r="D412" i="16"/>
  <c r="J263" i="16"/>
  <c r="F786" i="16"/>
  <c r="J604" i="16"/>
  <c r="F884" i="16"/>
  <c r="H438" i="16"/>
  <c r="E300" i="16"/>
  <c r="U300" i="16" s="1"/>
  <c r="D951" i="16"/>
  <c r="I443" i="16"/>
  <c r="H334" i="16"/>
  <c r="H924" i="16"/>
  <c r="I1231" i="16"/>
  <c r="F604" i="16"/>
  <c r="J1141" i="16"/>
  <c r="G445" i="16"/>
  <c r="G701" i="16"/>
  <c r="F412" i="16"/>
  <c r="E728" i="16"/>
  <c r="I832" i="16"/>
  <c r="G1276" i="16"/>
  <c r="H724" i="16"/>
  <c r="J1236" i="16"/>
  <c r="G933" i="16"/>
  <c r="F933" i="16"/>
  <c r="H933" i="16"/>
  <c r="I933" i="16"/>
  <c r="J933" i="16"/>
  <c r="D933" i="16"/>
  <c r="E933" i="16"/>
  <c r="E940" i="16"/>
  <c r="F940" i="16"/>
  <c r="G940" i="16"/>
  <c r="I940" i="16"/>
  <c r="D940" i="16"/>
  <c r="J940" i="16"/>
  <c r="H940" i="16"/>
  <c r="J859" i="16"/>
  <c r="H859" i="16"/>
  <c r="I1281" i="16"/>
  <c r="G1281" i="16"/>
  <c r="F1281" i="16"/>
  <c r="D1281" i="16"/>
  <c r="J1281" i="16"/>
  <c r="E1281" i="16"/>
  <c r="H1281" i="16"/>
  <c r="E1169" i="16"/>
  <c r="I1169" i="16"/>
  <c r="H1169" i="16"/>
  <c r="D1169" i="16"/>
  <c r="F1169" i="16"/>
  <c r="J1169" i="16"/>
  <c r="G1169" i="16"/>
  <c r="G953" i="16"/>
  <c r="H953" i="16"/>
  <c r="F953" i="16"/>
  <c r="D953" i="16"/>
  <c r="J953" i="16"/>
  <c r="I953" i="16"/>
  <c r="E953" i="16"/>
  <c r="H1276" i="16"/>
  <c r="G728" i="16"/>
  <c r="I591" i="16"/>
  <c r="D1093" i="16"/>
  <c r="U1093" i="16" s="1"/>
  <c r="I1201" i="16"/>
  <c r="E283" i="16"/>
  <c r="U283" i="16" s="1"/>
  <c r="E679" i="16"/>
  <c r="U679" i="16" s="1"/>
  <c r="Y1034" i="16"/>
  <c r="Y961" i="16"/>
  <c r="Y953" i="16"/>
  <c r="E1077" i="16"/>
  <c r="U1077" i="16" s="1"/>
  <c r="J724" i="16"/>
  <c r="J823" i="16"/>
  <c r="H823" i="16"/>
  <c r="I724" i="16"/>
  <c r="G839" i="16"/>
  <c r="E312" i="16"/>
  <c r="U312" i="16" s="1"/>
  <c r="J283" i="16"/>
  <c r="J1093" i="16"/>
  <c r="D724" i="16"/>
  <c r="U724" i="16" s="1"/>
  <c r="D839" i="16"/>
  <c r="U839" i="16" s="1"/>
  <c r="Y1281" i="16"/>
  <c r="J1201" i="16"/>
  <c r="G774" i="16"/>
  <c r="E1131" i="16"/>
  <c r="I1131" i="16"/>
  <c r="F1131" i="16"/>
  <c r="D1131" i="16"/>
  <c r="G1131" i="16"/>
  <c r="J1131" i="16"/>
  <c r="E356" i="16"/>
  <c r="G356" i="16"/>
  <c r="I356" i="16"/>
  <c r="H356" i="16"/>
  <c r="J356" i="16"/>
  <c r="F356" i="16"/>
  <c r="D356" i="16"/>
  <c r="G1233" i="16"/>
  <c r="H1233" i="16"/>
  <c r="I1233" i="16"/>
  <c r="I1138" i="16"/>
  <c r="E1138" i="16"/>
  <c r="G1138" i="16"/>
  <c r="H1138" i="16"/>
  <c r="J1138" i="16"/>
  <c r="F1138" i="16"/>
  <c r="D1138" i="16"/>
  <c r="E795" i="16"/>
  <c r="H795" i="16"/>
  <c r="G795" i="16"/>
  <c r="J795" i="16"/>
  <c r="I795" i="16"/>
  <c r="F795" i="16"/>
  <c r="D795" i="16"/>
  <c r="I1017" i="16"/>
  <c r="D1017" i="16"/>
  <c r="G1017" i="16"/>
  <c r="J1017" i="16"/>
  <c r="F1017" i="16"/>
  <c r="H1017" i="16"/>
  <c r="E1017" i="16"/>
  <c r="F913" i="16"/>
  <c r="G913" i="16"/>
  <c r="J913" i="16"/>
  <c r="I913" i="16"/>
  <c r="E913" i="16"/>
  <c r="H913" i="16"/>
  <c r="D913" i="16"/>
  <c r="I1198" i="16"/>
  <c r="E1198" i="16"/>
  <c r="D1198" i="16"/>
  <c r="J1198" i="16"/>
  <c r="H1198" i="16"/>
  <c r="G1198" i="16"/>
  <c r="F1198" i="16"/>
  <c r="J920" i="16"/>
  <c r="F920" i="16"/>
  <c r="G920" i="16"/>
  <c r="D920" i="16"/>
  <c r="H920" i="16"/>
  <c r="E920" i="16"/>
  <c r="I920" i="16"/>
  <c r="J623" i="16"/>
  <c r="E623" i="16"/>
  <c r="D623" i="16"/>
  <c r="I623" i="16"/>
  <c r="G623" i="16"/>
  <c r="H623" i="16"/>
  <c r="F623" i="16"/>
  <c r="I551" i="16"/>
  <c r="H551" i="16"/>
  <c r="E551" i="16"/>
  <c r="J551" i="16"/>
  <c r="G551" i="16"/>
  <c r="F551" i="16"/>
  <c r="D551" i="16"/>
  <c r="D630" i="16"/>
  <c r="J630" i="16"/>
  <c r="G630" i="16"/>
  <c r="H630" i="16"/>
  <c r="E630" i="16"/>
  <c r="F630" i="16"/>
  <c r="I630" i="16"/>
  <c r="E558" i="16"/>
  <c r="F558" i="16"/>
  <c r="H558" i="16"/>
  <c r="G558" i="16"/>
  <c r="I558" i="16"/>
  <c r="J558" i="16"/>
  <c r="D558" i="16"/>
  <c r="E470" i="16"/>
  <c r="I470" i="16"/>
  <c r="J470" i="16"/>
  <c r="H470" i="16"/>
  <c r="G470" i="16"/>
  <c r="D470" i="16"/>
  <c r="F470" i="16"/>
  <c r="E597" i="16"/>
  <c r="D597" i="16"/>
  <c r="J597" i="16"/>
  <c r="G597" i="16"/>
  <c r="F597" i="16"/>
  <c r="I597" i="16"/>
  <c r="H597" i="16"/>
  <c r="Y1036" i="16"/>
  <c r="Y997" i="16"/>
  <c r="Y463" i="16"/>
  <c r="Y1051" i="16"/>
  <c r="E591" i="16"/>
  <c r="J272" i="16"/>
  <c r="E272" i="16"/>
  <c r="Y316" i="16"/>
  <c r="G272" i="16"/>
  <c r="H272" i="16"/>
  <c r="D272" i="16"/>
  <c r="Y1226" i="16"/>
  <c r="F272" i="16"/>
  <c r="Y1280" i="16"/>
  <c r="U562" i="16"/>
  <c r="U1250" i="16"/>
  <c r="U775" i="16"/>
  <c r="U303" i="16"/>
  <c r="U572" i="16"/>
  <c r="U592" i="16"/>
  <c r="I1154" i="16"/>
  <c r="E1154" i="16"/>
  <c r="H1154" i="16"/>
  <c r="E1119" i="16"/>
  <c r="D1119" i="16"/>
  <c r="I1119" i="16"/>
  <c r="I530" i="16"/>
  <c r="E530" i="16"/>
  <c r="H530" i="16"/>
  <c r="D530" i="16"/>
  <c r="F530" i="16"/>
  <c r="I727" i="16"/>
  <c r="E727" i="16"/>
  <c r="U727" i="16" s="1"/>
  <c r="G727" i="16"/>
  <c r="E892" i="16"/>
  <c r="J892" i="16"/>
  <c r="D892" i="16"/>
  <c r="H892" i="16"/>
  <c r="H869" i="16"/>
  <c r="G869" i="16"/>
  <c r="E869" i="16"/>
  <c r="I869" i="16"/>
  <c r="D869" i="16"/>
  <c r="H1118" i="16"/>
  <c r="J1118" i="16"/>
  <c r="D311" i="16"/>
  <c r="E311" i="16"/>
  <c r="H311" i="16"/>
  <c r="H274" i="16"/>
  <c r="I274" i="16"/>
  <c r="E274" i="16"/>
  <c r="U274" i="16" s="1"/>
  <c r="J274" i="16"/>
  <c r="G875" i="16"/>
  <c r="I875" i="16"/>
  <c r="E875" i="16"/>
  <c r="U875" i="16" s="1"/>
  <c r="F875" i="16"/>
  <c r="H571" i="16"/>
  <c r="D571" i="16"/>
  <c r="U571" i="16" s="1"/>
  <c r="J571" i="16"/>
  <c r="F571" i="16"/>
  <c r="I571" i="16"/>
  <c r="G616" i="16"/>
  <c r="J616" i="16"/>
  <c r="F616" i="16"/>
  <c r="I616" i="16"/>
  <c r="G1035" i="16"/>
  <c r="J1035" i="16"/>
  <c r="I1035" i="16"/>
  <c r="E447" i="16"/>
  <c r="J447" i="16"/>
  <c r="D447" i="16"/>
  <c r="G447" i="16"/>
  <c r="H447" i="16"/>
  <c r="I447" i="16"/>
  <c r="I575" i="16"/>
  <c r="J575" i="16"/>
  <c r="F575" i="16"/>
  <c r="E575" i="16"/>
  <c r="U575" i="16" s="1"/>
  <c r="D578" i="16"/>
  <c r="U578" i="16" s="1"/>
  <c r="J578" i="16"/>
  <c r="E899" i="16"/>
  <c r="F899" i="16"/>
  <c r="I899" i="16"/>
  <c r="H899" i="16"/>
  <c r="G899" i="16"/>
  <c r="E1039" i="16"/>
  <c r="J1039" i="16"/>
  <c r="H1039" i="16"/>
  <c r="J1115" i="16"/>
  <c r="D1115" i="16"/>
  <c r="U1115" i="16" s="1"/>
  <c r="G1115" i="16"/>
  <c r="G1166" i="16"/>
  <c r="J1166" i="16"/>
  <c r="I1166" i="16"/>
  <c r="H1166" i="16"/>
  <c r="H1222" i="16"/>
  <c r="E1222" i="16"/>
  <c r="U1222" i="16" s="1"/>
  <c r="D740" i="16"/>
  <c r="H740" i="16"/>
  <c r="J740" i="16"/>
  <c r="E740" i="16"/>
  <c r="I330" i="16"/>
  <c r="J330" i="16"/>
  <c r="H330" i="16"/>
  <c r="G1065" i="16"/>
  <c r="H1065" i="16"/>
  <c r="E1065" i="16"/>
  <c r="U1065" i="16" s="1"/>
  <c r="J1065" i="16"/>
  <c r="G762" i="16"/>
  <c r="H762" i="16"/>
  <c r="F762" i="16"/>
  <c r="J762" i="16"/>
  <c r="D762" i="16"/>
  <c r="U762" i="16" s="1"/>
  <c r="G976" i="16"/>
  <c r="D976" i="16"/>
  <c r="H976" i="16"/>
  <c r="F976" i="16"/>
  <c r="G754" i="16"/>
  <c r="F754" i="16"/>
  <c r="D754" i="16"/>
  <c r="U754" i="16" s="1"/>
  <c r="I754" i="16"/>
  <c r="D521" i="16"/>
  <c r="F521" i="16"/>
  <c r="H546" i="16"/>
  <c r="J546" i="16"/>
  <c r="J627" i="16"/>
  <c r="D627" i="16"/>
  <c r="G627" i="16"/>
  <c r="E627" i="16"/>
  <c r="F627" i="16"/>
  <c r="D786" i="16"/>
  <c r="U786" i="16" s="1"/>
  <c r="E1224" i="16"/>
  <c r="U1224" i="16" s="1"/>
  <c r="D922" i="16"/>
  <c r="U922" i="16" s="1"/>
  <c r="I363" i="16"/>
  <c r="E363" i="16"/>
  <c r="U363" i="16" s="1"/>
  <c r="J363" i="16"/>
  <c r="J825" i="16"/>
  <c r="D825" i="16"/>
  <c r="U825" i="16" s="1"/>
  <c r="H825" i="16"/>
  <c r="I372" i="16"/>
  <c r="J372" i="16"/>
  <c r="G1163" i="16"/>
  <c r="E1163" i="16"/>
  <c r="U1163" i="16" s="1"/>
  <c r="H1163" i="16"/>
  <c r="J1163" i="16"/>
  <c r="Y1241" i="16"/>
  <c r="S1241" i="16"/>
  <c r="F1241" i="16" s="1"/>
  <c r="E1233" i="16"/>
  <c r="D1233" i="16"/>
  <c r="J1233" i="16"/>
  <c r="F1233" i="16"/>
  <c r="S1187" i="16"/>
  <c r="Y1187" i="16"/>
  <c r="S950" i="16"/>
  <c r="Y950" i="16"/>
  <c r="S354" i="16"/>
  <c r="Y354" i="16"/>
  <c r="H314" i="16"/>
  <c r="I314" i="16"/>
  <c r="J314" i="16"/>
  <c r="J18" i="10"/>
  <c r="A2" i="2"/>
  <c r="J30" i="10"/>
  <c r="I60" i="10"/>
  <c r="B32" i="3"/>
  <c r="A1" i="2"/>
  <c r="B12" i="4"/>
  <c r="B17" i="4"/>
  <c r="A9" i="10" s="1"/>
  <c r="I22" i="10"/>
  <c r="B15" i="3"/>
  <c r="I25" i="10"/>
  <c r="J45" i="10"/>
  <c r="G3" i="16"/>
  <c r="C30" i="3"/>
  <c r="B45" i="1"/>
  <c r="B38" i="4"/>
  <c r="B62" i="4" s="1"/>
  <c r="A45" i="10" s="1"/>
  <c r="I53" i="10"/>
  <c r="A74" i="2"/>
  <c r="I20" i="10"/>
  <c r="B4" i="16"/>
  <c r="J32" i="10"/>
  <c r="B26" i="3"/>
  <c r="A17" i="2"/>
  <c r="A73" i="2"/>
  <c r="A75" i="2"/>
  <c r="A45" i="2"/>
  <c r="I15" i="10"/>
  <c r="C15" i="10" s="1"/>
  <c r="B40" i="4"/>
  <c r="B52" i="4" s="1"/>
  <c r="A37" i="10" s="1"/>
  <c r="A44" i="2"/>
  <c r="F4" i="14"/>
  <c r="I41" i="10"/>
  <c r="A10" i="2"/>
  <c r="I63" i="10"/>
  <c r="D3" i="10"/>
  <c r="L63" i="10"/>
  <c r="C4" i="14"/>
  <c r="J13" i="10"/>
  <c r="A1" i="10"/>
  <c r="B16" i="3"/>
  <c r="B29" i="4"/>
  <c r="A18" i="10" s="1"/>
  <c r="J11" i="10"/>
  <c r="C11" i="10" s="1"/>
  <c r="A6" i="2"/>
  <c r="I43" i="10"/>
  <c r="D5" i="11"/>
  <c r="C12" i="3"/>
  <c r="B14" i="4"/>
  <c r="J10" i="10"/>
  <c r="C10" i="10" s="1"/>
  <c r="J52" i="10"/>
  <c r="B3" i="3"/>
  <c r="J25" i="10"/>
  <c r="D2" i="4"/>
  <c r="I58" i="10"/>
  <c r="A19" i="2"/>
  <c r="J47" i="10"/>
  <c r="B19" i="4"/>
  <c r="I23" i="10"/>
  <c r="A38" i="2"/>
  <c r="A3" i="10"/>
  <c r="E4" i="14"/>
  <c r="A24" i="2"/>
  <c r="A69" i="2"/>
  <c r="I59" i="10"/>
  <c r="J61" i="10"/>
  <c r="J2" i="16"/>
  <c r="C28" i="3"/>
  <c r="I66" i="10"/>
  <c r="I46" i="10"/>
  <c r="J55" i="10"/>
  <c r="C4" i="3"/>
  <c r="B12" i="3"/>
  <c r="J23" i="10"/>
  <c r="C2" i="3"/>
  <c r="C19" i="3"/>
  <c r="A77" i="2"/>
  <c r="B25" i="3"/>
  <c r="A54" i="2"/>
  <c r="I5" i="10"/>
  <c r="C5" i="10" s="1"/>
  <c r="A72" i="2"/>
  <c r="A18" i="2"/>
  <c r="C20" i="3"/>
  <c r="A46" i="2"/>
  <c r="I8" i="10"/>
  <c r="J58" i="10"/>
  <c r="J40" i="10"/>
  <c r="B28" i="4"/>
  <c r="A17" i="10" s="1"/>
  <c r="A42" i="2"/>
  <c r="J60" i="10"/>
  <c r="I64" i="10"/>
  <c r="J36" i="10"/>
  <c r="D4" i="16"/>
  <c r="J62" i="10"/>
  <c r="D1" i="10"/>
  <c r="B27" i="3"/>
  <c r="A23" i="2"/>
  <c r="A16" i="2"/>
  <c r="C5" i="3"/>
  <c r="J53" i="10"/>
  <c r="I16" i="10"/>
  <c r="A1" i="11"/>
  <c r="B23" i="3"/>
  <c r="I33" i="10"/>
  <c r="I21" i="10"/>
  <c r="C21" i="10" s="1"/>
  <c r="I45" i="10"/>
  <c r="C26" i="3"/>
  <c r="B3" i="16"/>
  <c r="B21" i="3"/>
  <c r="L4" i="16"/>
  <c r="B8" i="3"/>
  <c r="B27" i="4"/>
  <c r="A16" i="10" s="1"/>
  <c r="A58" i="2"/>
  <c r="I31" i="10"/>
  <c r="B4" i="14"/>
  <c r="I17" i="10"/>
  <c r="C17" i="10" s="1"/>
  <c r="J20" i="10"/>
  <c r="B17" i="3"/>
  <c r="J31" i="10"/>
  <c r="B6" i="3"/>
  <c r="B7" i="3"/>
  <c r="J7" i="10"/>
  <c r="C7" i="10" s="1"/>
  <c r="L65" i="10"/>
  <c r="C65" i="10" s="1"/>
  <c r="A49" i="2"/>
  <c r="J8" i="10"/>
  <c r="C8" i="10" s="1"/>
  <c r="A52" i="2"/>
  <c r="B28" i="3"/>
  <c r="I40" i="10"/>
  <c r="B7" i="4"/>
  <c r="C15" i="3"/>
  <c r="B31" i="4"/>
  <c r="A19" i="10" s="1"/>
  <c r="A36" i="2"/>
  <c r="A43" i="2"/>
  <c r="A9" i="2"/>
  <c r="I56" i="10"/>
  <c r="J27" i="10"/>
  <c r="I4" i="4"/>
  <c r="J16" i="10"/>
  <c r="B6" i="4"/>
  <c r="J59" i="10"/>
  <c r="B20" i="3"/>
  <c r="C24" i="3"/>
  <c r="A63" i="2"/>
  <c r="I13" i="10"/>
  <c r="A89" i="4"/>
  <c r="J26" i="10"/>
  <c r="J35" i="10"/>
  <c r="C35" i="10" s="1"/>
  <c r="B5" i="3"/>
  <c r="A27" i="2"/>
  <c r="A55" i="2"/>
  <c r="A47" i="2"/>
  <c r="L64" i="10"/>
  <c r="E1191" i="16"/>
  <c r="E418" i="16"/>
  <c r="E646" i="16"/>
  <c r="H646" i="16"/>
  <c r="E521" i="16"/>
  <c r="D396" i="16"/>
  <c r="U396" i="16" s="1"/>
  <c r="H396" i="16"/>
  <c r="D667" i="16"/>
  <c r="G667" i="16"/>
  <c r="H667" i="16"/>
  <c r="G22" i="10"/>
  <c r="H22" i="10" s="1"/>
  <c r="D22" i="10" s="1"/>
  <c r="F27" i="10"/>
  <c r="J523" i="16"/>
  <c r="F523" i="16"/>
  <c r="I523" i="16"/>
  <c r="H778" i="16"/>
  <c r="I778" i="16"/>
  <c r="J1253" i="16"/>
  <c r="G1253" i="16"/>
  <c r="E1253" i="16"/>
  <c r="U1253" i="16" s="1"/>
  <c r="D690" i="16"/>
  <c r="E690" i="16"/>
  <c r="D317" i="16"/>
  <c r="F317" i="16"/>
  <c r="G18" i="10"/>
  <c r="H18" i="10" s="1"/>
  <c r="D18" i="10" s="1"/>
  <c r="F28" i="10"/>
  <c r="G904" i="16"/>
  <c r="H466" i="16"/>
  <c r="I466" i="16"/>
  <c r="H1104" i="16"/>
  <c r="I1104" i="16"/>
  <c r="G527" i="16"/>
  <c r="D527" i="16"/>
  <c r="U527" i="16" s="1"/>
  <c r="J900" i="16"/>
  <c r="F30" i="10"/>
  <c r="H30" i="10" s="1"/>
  <c r="D30" i="10" s="1"/>
  <c r="F45" i="10"/>
  <c r="H45" i="10" s="1"/>
  <c r="D45" i="10" s="1"/>
  <c r="F40" i="10"/>
  <c r="H40" i="10" s="1"/>
  <c r="F35" i="10"/>
  <c r="H35" i="10" s="1"/>
  <c r="H293" i="16"/>
  <c r="H418" i="16"/>
  <c r="I600" i="16"/>
  <c r="F409" i="16"/>
  <c r="F832" i="16"/>
  <c r="H523" i="16"/>
  <c r="I992" i="16"/>
  <c r="J992" i="16"/>
  <c r="H992" i="16"/>
  <c r="G992" i="16"/>
  <c r="H267" i="16"/>
  <c r="E267" i="16"/>
  <c r="U267" i="16" s="1"/>
  <c r="F321" i="16"/>
  <c r="G321" i="16"/>
  <c r="E814" i="16"/>
  <c r="J814" i="16"/>
  <c r="H814" i="16"/>
  <c r="E1089" i="16"/>
  <c r="J420" i="16"/>
  <c r="I420" i="16"/>
  <c r="E523" i="16"/>
  <c r="U523" i="16" s="1"/>
  <c r="D487" i="16"/>
  <c r="U487" i="16" s="1"/>
  <c r="F487" i="16"/>
  <c r="H1234" i="16"/>
  <c r="E1234" i="16"/>
  <c r="D293" i="16"/>
  <c r="U293" i="16" s="1"/>
  <c r="F922" i="16"/>
  <c r="E317" i="16"/>
  <c r="G1016" i="16"/>
  <c r="D1016" i="16"/>
  <c r="U1016" i="16" s="1"/>
  <c r="F1016" i="16"/>
  <c r="I594" i="16"/>
  <c r="J594" i="16"/>
  <c r="F1237" i="16"/>
  <c r="I1237" i="16"/>
  <c r="D1186" i="16"/>
  <c r="J1186" i="16"/>
  <c r="E1186" i="16"/>
  <c r="G1186" i="16"/>
  <c r="I1186" i="16"/>
  <c r="J672" i="16"/>
  <c r="E672" i="16"/>
  <c r="S1091" i="16"/>
  <c r="Y1091" i="16"/>
  <c r="S822" i="16"/>
  <c r="Y822" i="16"/>
  <c r="G16" i="10"/>
  <c r="H16" i="10" s="1"/>
  <c r="D16" i="10" s="1"/>
  <c r="F26" i="10"/>
  <c r="S1165" i="16"/>
  <c r="G1165" i="16" s="1"/>
  <c r="Y855" i="16"/>
  <c r="Y863" i="16"/>
  <c r="Y471" i="16"/>
  <c r="Y423" i="16"/>
  <c r="Y560" i="16"/>
  <c r="G546" i="16"/>
  <c r="Y538" i="16"/>
  <c r="Y814" i="16"/>
  <c r="Y478" i="16"/>
  <c r="Y835" i="16"/>
  <c r="Y788" i="16"/>
  <c r="Y780" i="16"/>
  <c r="Y590" i="16"/>
  <c r="Y540" i="16"/>
  <c r="Y1256" i="16"/>
  <c r="Y699" i="16"/>
  <c r="Y691" i="16"/>
  <c r="Y523" i="16"/>
  <c r="Y507" i="16"/>
  <c r="Y518" i="16"/>
  <c r="Y487" i="16"/>
  <c r="U329" i="16"/>
  <c r="U266" i="16"/>
  <c r="U565" i="16"/>
  <c r="U1084" i="16"/>
  <c r="U1042" i="16"/>
  <c r="U1264" i="16"/>
  <c r="I1005" i="16"/>
  <c r="F1005" i="16"/>
  <c r="G1005" i="16"/>
  <c r="D1005" i="16"/>
  <c r="U1005" i="16" s="1"/>
  <c r="J1005" i="16"/>
  <c r="S1108" i="16"/>
  <c r="Y1108" i="16"/>
  <c r="H685" i="16"/>
  <c r="I685" i="16"/>
  <c r="G685" i="16"/>
  <c r="D498" i="16"/>
  <c r="F1222" i="16"/>
  <c r="H930" i="16"/>
  <c r="G615" i="16"/>
  <c r="G489" i="16"/>
  <c r="G656" i="16"/>
  <c r="I648" i="16"/>
  <c r="J648" i="16"/>
  <c r="E1172" i="16"/>
  <c r="U1172" i="16" s="1"/>
  <c r="F1172" i="16"/>
  <c r="I1172" i="16"/>
  <c r="E1211" i="16"/>
  <c r="U1211" i="16" s="1"/>
  <c r="H1211" i="16"/>
  <c r="S1197" i="16"/>
  <c r="Y1197" i="16"/>
  <c r="S1181" i="16"/>
  <c r="G1181" i="16" s="1"/>
  <c r="Y1144" i="16"/>
  <c r="S1144" i="16"/>
  <c r="I1222" i="16"/>
  <c r="G387" i="16"/>
  <c r="E387" i="16"/>
  <c r="U387" i="16" s="1"/>
  <c r="F930" i="16"/>
  <c r="D930" i="16"/>
  <c r="U930" i="16" s="1"/>
  <c r="D579" i="16"/>
  <c r="I579" i="16"/>
  <c r="E741" i="16"/>
  <c r="I741" i="16"/>
  <c r="J741" i="16"/>
  <c r="D859" i="16"/>
  <c r="E859" i="16"/>
  <c r="I859" i="16"/>
  <c r="F859" i="16"/>
  <c r="G1172" i="16"/>
  <c r="H472" i="16"/>
  <c r="H656" i="16"/>
  <c r="D637" i="16"/>
  <c r="Y554" i="16"/>
  <c r="S554" i="16"/>
  <c r="S547" i="16"/>
  <c r="Y547" i="16"/>
  <c r="J539" i="16"/>
  <c r="F539" i="16"/>
  <c r="S531" i="16"/>
  <c r="G531" i="16" s="1"/>
  <c r="Y324" i="16"/>
  <c r="S324" i="16"/>
  <c r="F656" i="16"/>
  <c r="G784" i="16"/>
  <c r="I784" i="16"/>
  <c r="D836" i="16"/>
  <c r="U836" i="16" s="1"/>
  <c r="I836" i="16"/>
  <c r="G836" i="16"/>
  <c r="H552" i="16"/>
  <c r="F552" i="16"/>
  <c r="J552" i="16"/>
  <c r="G552" i="16"/>
  <c r="D552" i="16"/>
  <c r="U552" i="16" s="1"/>
  <c r="J713" i="16"/>
  <c r="I713" i="16"/>
  <c r="H576" i="16"/>
  <c r="I576" i="16"/>
  <c r="E576" i="16"/>
  <c r="U576" i="16" s="1"/>
  <c r="E656" i="16"/>
  <c r="J963" i="16"/>
  <c r="I963" i="16"/>
  <c r="F828" i="16"/>
  <c r="J828" i="16"/>
  <c r="H820" i="16"/>
  <c r="F820" i="16"/>
  <c r="I789" i="16"/>
  <c r="F789" i="16"/>
  <c r="E923" i="16"/>
  <c r="U923" i="16" s="1"/>
  <c r="F472" i="16"/>
  <c r="J615" i="16"/>
  <c r="I930" i="16"/>
  <c r="I656" i="16"/>
  <c r="F524" i="16"/>
  <c r="G773" i="16"/>
  <c r="G832" i="16"/>
  <c r="E832" i="16"/>
  <c r="J832" i="16"/>
  <c r="G1088" i="16"/>
  <c r="D1088" i="16"/>
  <c r="U1088" i="16" s="1"/>
  <c r="H1088" i="16"/>
  <c r="S1010" i="16"/>
  <c r="G1010" i="16" s="1"/>
  <c r="Y1010" i="16"/>
  <c r="S994" i="16"/>
  <c r="G994" i="16" s="1"/>
  <c r="S978" i="16"/>
  <c r="Y978" i="16"/>
  <c r="G859" i="16"/>
  <c r="G851" i="16"/>
  <c r="E851" i="16"/>
  <c r="U851" i="16" s="1"/>
  <c r="F851" i="16"/>
  <c r="F849" i="16"/>
  <c r="E615" i="16"/>
  <c r="U615" i="16" s="1"/>
  <c r="D656" i="16"/>
  <c r="F482" i="16"/>
  <c r="G482" i="16"/>
  <c r="D482" i="16"/>
  <c r="U482" i="16" s="1"/>
  <c r="J482" i="16"/>
  <c r="H482" i="16"/>
  <c r="I482" i="16"/>
  <c r="I1278" i="16"/>
  <c r="H1278" i="16"/>
  <c r="J1278" i="16"/>
  <c r="G279" i="16"/>
  <c r="Y1031" i="16"/>
  <c r="Y1114" i="16"/>
  <c r="S788" i="16"/>
  <c r="I474" i="16"/>
  <c r="G386" i="16"/>
  <c r="Y828" i="16"/>
  <c r="Y796" i="16"/>
  <c r="J1143" i="16"/>
  <c r="Y1248" i="16"/>
  <c r="Y859" i="16"/>
  <c r="Y539" i="16"/>
  <c r="Y531" i="16"/>
  <c r="J1136" i="16"/>
  <c r="S835" i="16"/>
  <c r="S560" i="16"/>
  <c r="Y1009" i="16"/>
  <c r="F1060" i="16"/>
  <c r="D672" i="16"/>
  <c r="I1136" i="16"/>
  <c r="G1136" i="16"/>
  <c r="Y502" i="16"/>
  <c r="S502" i="16"/>
  <c r="S442" i="16"/>
  <c r="Y442" i="16"/>
  <c r="J452" i="16"/>
  <c r="H397" i="16"/>
  <c r="Y1188" i="16"/>
  <c r="S980" i="16"/>
  <c r="Y980" i="16"/>
  <c r="S433" i="16"/>
  <c r="Y433" i="16"/>
  <c r="E730" i="16"/>
  <c r="U730" i="16" s="1"/>
  <c r="D397" i="16"/>
  <c r="J397" i="16"/>
  <c r="Y1136" i="16"/>
  <c r="Y872" i="16"/>
  <c r="Y729" i="16"/>
  <c r="Y569" i="16"/>
  <c r="Y561" i="16"/>
  <c r="Y553" i="16"/>
  <c r="Y467" i="16"/>
  <c r="Y459" i="16"/>
  <c r="Y311" i="16"/>
  <c r="Y296" i="16"/>
  <c r="Y288" i="16"/>
  <c r="Y957" i="16"/>
  <c r="Y893" i="16"/>
  <c r="Y568" i="16"/>
  <c r="Y450" i="16"/>
  <c r="Y389" i="16"/>
  <c r="Y1259" i="16"/>
  <c r="Y1101" i="16"/>
  <c r="Y1029" i="16"/>
  <c r="Y956" i="16"/>
  <c r="Y727" i="16"/>
  <c r="Y449" i="16"/>
  <c r="Y325" i="16"/>
  <c r="Y1132" i="16"/>
  <c r="Y422" i="16"/>
  <c r="Y270" i="16"/>
  <c r="Y1100" i="16"/>
  <c r="Y829" i="16"/>
  <c r="Y371" i="16"/>
  <c r="G882" i="16"/>
  <c r="Y1270" i="16"/>
  <c r="Y1130" i="16"/>
  <c r="Y1107" i="16"/>
  <c r="Y1059" i="16"/>
  <c r="Y797" i="16"/>
  <c r="Y789" i="16"/>
  <c r="Y701" i="16"/>
  <c r="Y613" i="16"/>
  <c r="Y605" i="16"/>
  <c r="Y526" i="16"/>
  <c r="Y510" i="16"/>
  <c r="Y479" i="16"/>
  <c r="Y410" i="16"/>
  <c r="U1114" i="16"/>
  <c r="U674" i="16"/>
  <c r="U842" i="16"/>
  <c r="U313" i="16"/>
  <c r="U1190" i="16"/>
  <c r="U491" i="16"/>
  <c r="U271" i="16"/>
  <c r="U744" i="16"/>
  <c r="U908" i="16"/>
  <c r="U602" i="16"/>
  <c r="U863" i="16"/>
  <c r="U785" i="16"/>
  <c r="U322" i="16"/>
  <c r="U484" i="16"/>
  <c r="U450" i="16"/>
  <c r="U463" i="16"/>
  <c r="U469" i="16"/>
  <c r="U1188" i="16"/>
  <c r="U651" i="16"/>
  <c r="U1248" i="16"/>
  <c r="U444" i="16"/>
  <c r="U961" i="16"/>
  <c r="U480" i="16"/>
  <c r="U1061" i="16"/>
  <c r="U1122" i="16"/>
  <c r="U1083" i="16"/>
  <c r="U865" i="16"/>
  <c r="U641" i="16"/>
  <c r="U663" i="16"/>
  <c r="U467" i="16"/>
  <c r="U1036" i="16"/>
  <c r="U1080" i="16"/>
  <c r="U284" i="16"/>
  <c r="U567" i="16"/>
  <c r="U436" i="16"/>
  <c r="U1053" i="16"/>
  <c r="U561" i="16"/>
  <c r="U1057" i="16"/>
  <c r="U987" i="16"/>
  <c r="U372" i="16"/>
  <c r="U888" i="16"/>
  <c r="U1073" i="16"/>
  <c r="U489" i="16"/>
  <c r="U1282" i="16"/>
  <c r="U962" i="16"/>
  <c r="U1132" i="16"/>
  <c r="U1043" i="16"/>
  <c r="U528" i="16"/>
  <c r="U881" i="16"/>
  <c r="U650" i="16"/>
  <c r="U906" i="16"/>
  <c r="U410" i="16"/>
  <c r="U1180" i="16"/>
  <c r="U603" i="16"/>
  <c r="U1003" i="16"/>
  <c r="D55" i="4"/>
  <c r="U818" i="16"/>
  <c r="U506" i="16"/>
  <c r="U957" i="16"/>
  <c r="U692" i="16"/>
  <c r="U320" i="16"/>
  <c r="U580" i="16"/>
  <c r="U736" i="16"/>
  <c r="U868" i="16"/>
  <c r="U688" i="16"/>
  <c r="U1117" i="16"/>
  <c r="U376" i="16"/>
  <c r="U889" i="16"/>
  <c r="U610" i="16"/>
  <c r="U427" i="16"/>
  <c r="U1200" i="16"/>
  <c r="U1076" i="16"/>
  <c r="U916" i="16"/>
  <c r="U1012" i="16"/>
  <c r="U468" i="16"/>
  <c r="U1275" i="16"/>
  <c r="U1041" i="16"/>
  <c r="U817" i="16"/>
  <c r="G61" i="4"/>
  <c r="G43" i="4"/>
  <c r="A26" i="10"/>
  <c r="G37" i="4"/>
  <c r="B57" i="4"/>
  <c r="A41" i="10" s="1"/>
  <c r="U880" i="16"/>
  <c r="U789" i="16"/>
  <c r="G55" i="4"/>
  <c r="B45" i="4"/>
  <c r="A31" i="10" s="1"/>
  <c r="U471" i="16"/>
  <c r="G68" i="4"/>
  <c r="G31" i="4"/>
  <c r="B51" i="4"/>
  <c r="A36" i="10" s="1"/>
  <c r="U907" i="16"/>
  <c r="U996" i="16"/>
  <c r="U348" i="16"/>
  <c r="U658" i="16"/>
  <c r="U1027" i="16"/>
  <c r="U816" i="16"/>
  <c r="U665" i="16"/>
  <c r="F430" i="16"/>
  <c r="D430" i="16"/>
  <c r="F862" i="16"/>
  <c r="D862" i="16"/>
  <c r="I862" i="16"/>
  <c r="E862" i="16"/>
  <c r="J415" i="16"/>
  <c r="G415" i="16"/>
  <c r="J1279" i="16"/>
  <c r="H1279" i="16"/>
  <c r="E1279" i="16"/>
  <c r="I1279" i="16"/>
  <c r="D1279" i="16"/>
  <c r="G1279" i="16"/>
  <c r="F1279" i="16"/>
  <c r="J653" i="16"/>
  <c r="E653" i="16"/>
  <c r="U1048" i="16"/>
  <c r="F1167" i="16"/>
  <c r="H1167" i="16"/>
  <c r="G520" i="16"/>
  <c r="F520" i="16"/>
  <c r="D520" i="16"/>
  <c r="U520" i="16" s="1"/>
  <c r="U896" i="16"/>
  <c r="I578" i="16"/>
  <c r="H578" i="16"/>
  <c r="D899" i="16"/>
  <c r="J899" i="16"/>
  <c r="D307" i="16"/>
  <c r="J307" i="16"/>
  <c r="E307" i="16"/>
  <c r="H307" i="16"/>
  <c r="G1241" i="16"/>
  <c r="E1241" i="16"/>
  <c r="I1241" i="16"/>
  <c r="H415" i="16"/>
  <c r="U472" i="16"/>
  <c r="H430" i="16"/>
  <c r="I845" i="16"/>
  <c r="H845" i="16"/>
  <c r="G682" i="16"/>
  <c r="E682" i="16"/>
  <c r="U682" i="16" s="1"/>
  <c r="J430" i="16"/>
  <c r="D415" i="16"/>
  <c r="U415" i="16" s="1"/>
  <c r="F1154" i="16"/>
  <c r="D1154" i="16"/>
  <c r="U745" i="16"/>
  <c r="E451" i="16"/>
  <c r="U451" i="16" s="1"/>
  <c r="F1148" i="16"/>
  <c r="G1148" i="16"/>
  <c r="G1274" i="16"/>
  <c r="J1274" i="16"/>
  <c r="D1274" i="16"/>
  <c r="U1274" i="16" s="1"/>
  <c r="D1126" i="16"/>
  <c r="H1126" i="16"/>
  <c r="S824" i="16"/>
  <c r="Y824" i="16"/>
  <c r="S675" i="16"/>
  <c r="Y675" i="16"/>
  <c r="S645" i="16"/>
  <c r="Y645" i="16"/>
  <c r="S476" i="16"/>
  <c r="Y476" i="16"/>
  <c r="S414" i="16"/>
  <c r="Y414" i="16"/>
  <c r="H277" i="16"/>
  <c r="D277" i="16"/>
  <c r="I277" i="16"/>
  <c r="H1111" i="16"/>
  <c r="J1148" i="16"/>
  <c r="J883" i="16"/>
  <c r="H883" i="16"/>
  <c r="D827" i="16"/>
  <c r="H827" i="16"/>
  <c r="G827" i="16"/>
  <c r="E827" i="16"/>
  <c r="E389" i="16"/>
  <c r="U389" i="16" s="1"/>
  <c r="H389" i="16"/>
  <c r="F883" i="16"/>
  <c r="H709" i="16"/>
  <c r="G1273" i="16"/>
  <c r="G705" i="16"/>
  <c r="H1204" i="16"/>
  <c r="F793" i="16"/>
  <c r="E793" i="16"/>
  <c r="U793" i="16" s="1"/>
  <c r="D583" i="16"/>
  <c r="E583" i="16"/>
  <c r="E687" i="16"/>
  <c r="J687" i="16"/>
  <c r="F687" i="16"/>
  <c r="D687" i="16"/>
  <c r="G687" i="16"/>
  <c r="G1222" i="16"/>
  <c r="H1201" i="16"/>
  <c r="U929" i="16"/>
  <c r="G584" i="16"/>
  <c r="G1034" i="16"/>
  <c r="Y1273" i="16"/>
  <c r="D668" i="16"/>
  <c r="U668" i="16" s="1"/>
  <c r="S422" i="16"/>
  <c r="E517" i="16"/>
  <c r="U517" i="16" s="1"/>
  <c r="J517" i="16"/>
  <c r="E993" i="16"/>
  <c r="U993" i="16" s="1"/>
  <c r="I993" i="16"/>
  <c r="H973" i="16"/>
  <c r="D973" i="16"/>
  <c r="U973" i="16" s="1"/>
  <c r="F1186" i="16"/>
  <c r="E770" i="16"/>
  <c r="U770" i="16" s="1"/>
  <c r="J1105" i="16"/>
  <c r="H1105" i="16"/>
  <c r="G1037" i="16"/>
  <c r="D1037" i="16"/>
  <c r="U1037" i="16" s="1"/>
  <c r="I1037" i="16"/>
  <c r="J1029" i="16"/>
  <c r="H1029" i="16"/>
  <c r="D1029" i="16"/>
  <c r="U1029" i="16" s="1"/>
  <c r="I1029" i="16"/>
  <c r="F590" i="16"/>
  <c r="D590" i="16"/>
  <c r="G916" i="16"/>
  <c r="E1204" i="16"/>
  <c r="U1204" i="16" s="1"/>
  <c r="I684" i="16"/>
  <c r="E684" i="16"/>
  <c r="U684" i="16" s="1"/>
  <c r="H280" i="16"/>
  <c r="E280" i="16"/>
  <c r="U280" i="16" s="1"/>
  <c r="D316" i="16"/>
  <c r="U316" i="16" s="1"/>
  <c r="F316" i="16"/>
  <c r="I316" i="16"/>
  <c r="I312" i="16"/>
  <c r="H312" i="16"/>
  <c r="G312" i="16"/>
  <c r="U403" i="16"/>
  <c r="E574" i="16"/>
  <c r="I391" i="16"/>
  <c r="H1274" i="16"/>
  <c r="S270" i="16"/>
  <c r="F657" i="16"/>
  <c r="G657" i="16"/>
  <c r="D936" i="16"/>
  <c r="U936" i="16" s="1"/>
  <c r="E1249" i="16"/>
  <c r="U1249" i="16" s="1"/>
  <c r="U705" i="16"/>
  <c r="G947" i="16"/>
  <c r="D1148" i="16"/>
  <c r="U1148" i="16" s="1"/>
  <c r="E278" i="16"/>
  <c r="D278" i="16"/>
  <c r="E1194" i="16"/>
  <c r="U1194" i="16" s="1"/>
  <c r="J1194" i="16"/>
  <c r="F1194" i="16"/>
  <c r="U328" i="16"/>
  <c r="E964" i="16"/>
  <c r="Y483" i="16"/>
  <c r="Y877" i="16"/>
  <c r="Y806" i="16"/>
  <c r="Y694" i="16"/>
  <c r="Y938" i="16"/>
  <c r="Y1044" i="16"/>
  <c r="Y798" i="16"/>
  <c r="Y452" i="16"/>
  <c r="Y776" i="16"/>
  <c r="Y457" i="16"/>
  <c r="Y1231" i="16"/>
  <c r="Y1159" i="16"/>
  <c r="Y620" i="16"/>
  <c r="Y514" i="16"/>
  <c r="G495" i="16"/>
  <c r="Y1182" i="16"/>
  <c r="Y1119" i="16"/>
  <c r="Y993" i="16"/>
  <c r="Y749" i="16"/>
  <c r="Y1251" i="16"/>
  <c r="Y709" i="16"/>
  <c r="Y556" i="16"/>
  <c r="U585" i="16"/>
  <c r="U1146" i="16"/>
  <c r="U539" i="16"/>
  <c r="U319" i="16"/>
  <c r="U643" i="16"/>
  <c r="U289" i="16"/>
  <c r="U831" i="16"/>
  <c r="U599" i="16"/>
  <c r="U325" i="16"/>
  <c r="U315" i="16"/>
  <c r="U1098" i="16"/>
  <c r="U1058" i="16"/>
  <c r="U909" i="16"/>
  <c r="U333" i="16"/>
  <c r="U719" i="16"/>
  <c r="U1272" i="16"/>
  <c r="U1185" i="16"/>
  <c r="U722" i="16"/>
  <c r="U780" i="16"/>
  <c r="U276" i="16"/>
  <c r="U1124" i="16"/>
  <c r="U1020" i="16"/>
  <c r="U915" i="16"/>
  <c r="U732" i="16"/>
  <c r="U768" i="16"/>
  <c r="U532" i="16"/>
  <c r="U409" i="16"/>
  <c r="U1217" i="16"/>
  <c r="U1139" i="16"/>
  <c r="U657" i="16"/>
  <c r="U647" i="16"/>
  <c r="U834" i="16"/>
  <c r="U402" i="16"/>
  <c r="U966" i="16"/>
  <c r="U1125" i="16"/>
  <c r="U364" i="16"/>
  <c r="U431" i="16"/>
  <c r="U708" i="16"/>
  <c r="U361" i="16"/>
  <c r="U355" i="16"/>
  <c r="U1022" i="16"/>
  <c r="U801" i="16"/>
  <c r="U540" i="16"/>
  <c r="U1066" i="16"/>
  <c r="U671" i="16"/>
  <c r="U581" i="16"/>
  <c r="U760" i="16"/>
  <c r="U731" i="16"/>
  <c r="U458" i="16"/>
  <c r="U546" i="16"/>
  <c r="U628" i="16"/>
  <c r="U1265" i="16"/>
  <c r="U1213" i="16"/>
  <c r="U404" i="16"/>
  <c r="U1227" i="16"/>
  <c r="U379" i="16"/>
  <c r="U306" i="16"/>
  <c r="U595" i="16"/>
  <c r="U624" i="16"/>
  <c r="U796" i="16"/>
  <c r="U807" i="16"/>
  <c r="U537" i="16"/>
  <c r="U883" i="16"/>
  <c r="U475" i="16"/>
  <c r="D68" i="4"/>
  <c r="U666" i="16"/>
  <c r="U1096" i="16"/>
  <c r="U729" i="16"/>
  <c r="U449" i="16"/>
  <c r="D61" i="4"/>
  <c r="U844" i="16"/>
  <c r="D31" i="4"/>
  <c r="P37" i="4" s="1"/>
  <c r="Q37" i="4" s="1"/>
  <c r="B37" i="4" s="1"/>
  <c r="A24" i="10" s="1"/>
  <c r="D43" i="4"/>
  <c r="U748" i="16"/>
  <c r="U681" i="16"/>
  <c r="U711" i="16"/>
  <c r="U764" i="16"/>
  <c r="U619" i="16"/>
  <c r="U1240" i="16"/>
  <c r="U1270" i="16"/>
  <c r="D49" i="4"/>
  <c r="U613" i="16"/>
  <c r="U737" i="16"/>
  <c r="U593" i="16"/>
  <c r="U823" i="16"/>
  <c r="U535" i="16"/>
  <c r="U979" i="16"/>
  <c r="U1082" i="16"/>
  <c r="U1097" i="16"/>
  <c r="U939" i="16"/>
  <c r="U714" i="16"/>
  <c r="U359" i="16"/>
  <c r="U1218" i="16"/>
  <c r="U1283" i="16"/>
  <c r="U290" i="16"/>
  <c r="U1090" i="16"/>
  <c r="U811" i="16"/>
  <c r="U632" i="16"/>
  <c r="U1059" i="16"/>
  <c r="U332" i="16"/>
  <c r="U488" i="16"/>
  <c r="U960" i="16"/>
  <c r="U568" i="16"/>
  <c r="U538" i="16"/>
  <c r="B32" i="4"/>
  <c r="A20" i="10" s="1"/>
  <c r="U543" i="16"/>
  <c r="U383" i="16"/>
  <c r="U1243" i="16"/>
  <c r="U400" i="16"/>
  <c r="U858" i="16"/>
  <c r="U544" i="16"/>
  <c r="U411" i="16"/>
  <c r="U954" i="16"/>
  <c r="U673" i="16"/>
  <c r="U1260" i="16"/>
  <c r="U503" i="16"/>
  <c r="U756" i="16"/>
  <c r="U867" i="16"/>
  <c r="U809" i="16"/>
  <c r="U1164" i="16"/>
  <c r="U969" i="16"/>
  <c r="U1044" i="16"/>
  <c r="U269" i="16"/>
  <c r="U533" i="16"/>
  <c r="U631" i="16"/>
  <c r="U386" i="16"/>
  <c r="U314" i="16"/>
  <c r="U728" i="16"/>
  <c r="U378" i="16"/>
  <c r="U1229" i="16"/>
  <c r="U587" i="16"/>
  <c r="U633" i="16"/>
  <c r="U1116" i="16"/>
  <c r="U288" i="16"/>
  <c r="U1068" i="16"/>
  <c r="U1228" i="16"/>
  <c r="U424" i="16"/>
  <c r="U299" i="16"/>
  <c r="U394" i="16"/>
  <c r="U1019" i="16"/>
  <c r="U264" i="16"/>
  <c r="U955" i="16"/>
  <c r="U988" i="16"/>
  <c r="U882" i="16"/>
  <c r="U864" i="16"/>
  <c r="U296" i="16"/>
  <c r="U399" i="16"/>
  <c r="U1018" i="16"/>
  <c r="U413" i="16"/>
  <c r="U439" i="16"/>
  <c r="U927" i="16"/>
  <c r="U1161" i="16"/>
  <c r="U777" i="16"/>
  <c r="U1067" i="16"/>
  <c r="U1245" i="16"/>
  <c r="U1123" i="16"/>
  <c r="U420" i="16"/>
  <c r="U772" i="16"/>
  <c r="U938" i="16"/>
  <c r="U611" i="16"/>
  <c r="U648" i="16"/>
  <c r="U952" i="16"/>
  <c r="U570" i="16"/>
  <c r="U1060" i="16"/>
  <c r="U1286" i="16"/>
  <c r="U522" i="16"/>
  <c r="U977" i="16"/>
  <c r="U298" i="16"/>
  <c r="U1209" i="16"/>
  <c r="U812" i="16"/>
  <c r="U336" i="16"/>
  <c r="U1205" i="16"/>
  <c r="U279" i="16"/>
  <c r="U1177" i="16"/>
  <c r="U783" i="16"/>
  <c r="U874" i="16"/>
  <c r="U1168" i="16"/>
  <c r="U516" i="16"/>
  <c r="U843" i="16"/>
  <c r="U1235" i="16"/>
  <c r="B53" i="4"/>
  <c r="A38" i="10" s="1"/>
  <c r="B47" i="4"/>
  <c r="A33" i="10" s="1"/>
  <c r="B65" i="4"/>
  <c r="A48" i="10" s="1"/>
  <c r="B59" i="4"/>
  <c r="A43" i="10" s="1"/>
  <c r="U1011" i="16"/>
  <c r="U273" i="16"/>
  <c r="U507" i="16"/>
  <c r="U385" i="16"/>
  <c r="U995" i="16"/>
  <c r="U497" i="16"/>
  <c r="U1251" i="16"/>
  <c r="U1176" i="16"/>
  <c r="U275" i="16"/>
  <c r="U1269" i="16"/>
  <c r="U1196" i="16"/>
  <c r="U495" i="16"/>
  <c r="U626" i="16"/>
  <c r="U1259" i="16"/>
  <c r="U465" i="16"/>
  <c r="U1203" i="16"/>
  <c r="U456" i="16"/>
  <c r="U912" i="16"/>
  <c r="U1184" i="16"/>
  <c r="U557" i="16"/>
  <c r="U887" i="16"/>
  <c r="U352" i="16"/>
  <c r="U970" i="16"/>
  <c r="U751" i="16"/>
  <c r="U866" i="16"/>
  <c r="U555" i="16"/>
  <c r="U944" i="16"/>
  <c r="U504" i="16"/>
  <c r="U453" i="16"/>
  <c r="U700" i="16"/>
  <c r="U931" i="16"/>
  <c r="U1268" i="16"/>
  <c r="U367" i="16"/>
  <c r="U1237" i="16"/>
  <c r="U848" i="16"/>
  <c r="U1261" i="16"/>
  <c r="U840" i="16"/>
  <c r="U891" i="16"/>
  <c r="U1024" i="16"/>
  <c r="U871" i="16"/>
  <c r="U305" i="16"/>
  <c r="U1100" i="16"/>
  <c r="U815" i="16"/>
  <c r="U481" i="16"/>
  <c r="U375" i="16"/>
  <c r="U697" i="16"/>
  <c r="U695" i="16"/>
  <c r="U287" i="16"/>
  <c r="U989" i="16"/>
  <c r="U1004" i="16"/>
  <c r="U292" i="16"/>
  <c r="U304" i="16"/>
  <c r="U460" i="16"/>
  <c r="U513" i="16"/>
  <c r="U343" i="16"/>
  <c r="U1160" i="16"/>
  <c r="U452" i="16"/>
  <c r="U368" i="16"/>
  <c r="U362" i="16"/>
  <c r="U1129" i="16"/>
  <c r="U636" i="16"/>
  <c r="U660" i="16"/>
  <c r="U339" i="16"/>
  <c r="U985" i="16"/>
  <c r="U914" i="16"/>
  <c r="U649" i="16"/>
  <c r="U1130" i="16"/>
  <c r="U268" i="16"/>
  <c r="U1034" i="16"/>
  <c r="U553" i="16"/>
  <c r="U738" i="16"/>
  <c r="U1002" i="16"/>
  <c r="U963" i="16"/>
  <c r="U716" i="16"/>
  <c r="U1025" i="16"/>
  <c r="U1052" i="16"/>
  <c r="U281" i="16"/>
  <c r="U1120" i="16"/>
  <c r="U876" i="16"/>
  <c r="U857" i="16"/>
  <c r="U898" i="16"/>
  <c r="U992" i="16"/>
  <c r="U1287" i="16"/>
  <c r="U291" i="16"/>
  <c r="U755" i="16"/>
  <c r="U1028" i="16"/>
  <c r="U1210" i="16"/>
  <c r="U536" i="16"/>
  <c r="U345" i="16"/>
  <c r="U771" i="16"/>
  <c r="U691" i="16"/>
  <c r="U1157" i="16"/>
  <c r="U524" i="16"/>
  <c r="U680" i="16"/>
  <c r="U492" i="16"/>
  <c r="U285" i="16"/>
  <c r="U1050" i="16"/>
  <c r="U759" i="16"/>
  <c r="U1033" i="16"/>
  <c r="U1145" i="16"/>
  <c r="U733" i="16"/>
  <c r="U1001" i="16"/>
  <c r="U1193" i="16"/>
  <c r="U323" i="16"/>
  <c r="U903" i="16"/>
  <c r="U346" i="16"/>
  <c r="U945" i="16"/>
  <c r="U707" i="16"/>
  <c r="U1225" i="16"/>
  <c r="U1118" i="16"/>
  <c r="U791" i="16"/>
  <c r="U820" i="16"/>
  <c r="U618" i="16"/>
  <c r="U1105" i="16"/>
  <c r="U849" i="16"/>
  <c r="U1133" i="16"/>
  <c r="U483" i="16"/>
  <c r="U564" i="16"/>
  <c r="U577" i="16"/>
  <c r="U448" i="16"/>
  <c r="U466" i="16"/>
  <c r="U434" i="16"/>
  <c r="U721" i="16"/>
  <c r="U652" i="16"/>
  <c r="U423" i="16"/>
  <c r="U1242" i="16"/>
  <c r="U723" i="16"/>
  <c r="U392" i="16"/>
  <c r="U872" i="16"/>
  <c r="U946" i="16"/>
  <c r="U308" i="16"/>
  <c r="U689" i="16"/>
  <c r="U757" i="16"/>
  <c r="U937" i="16"/>
  <c r="U455" i="16"/>
  <c r="U1026" i="16"/>
  <c r="U596" i="16"/>
  <c r="U616" i="16"/>
  <c r="U747" i="16"/>
  <c r="U1179" i="16"/>
  <c r="U1136" i="16"/>
  <c r="U1171" i="16"/>
  <c r="U549" i="16"/>
  <c r="U1032" i="16"/>
  <c r="U347" i="16"/>
  <c r="U784" i="16"/>
  <c r="U437" i="16"/>
  <c r="U1267" i="16"/>
  <c r="U1284" i="16"/>
  <c r="U391" i="16"/>
  <c r="U600" i="16"/>
  <c r="U496" i="16"/>
  <c r="U1208" i="16"/>
  <c r="U841" i="16"/>
  <c r="U340" i="16"/>
  <c r="U464" i="16"/>
  <c r="U408" i="16"/>
  <c r="U479" i="16"/>
  <c r="U655" i="16"/>
  <c r="U331" i="16"/>
  <c r="U761" i="16"/>
  <c r="U767" i="16"/>
  <c r="U377" i="16"/>
  <c r="U1099" i="16"/>
  <c r="U1173" i="16"/>
  <c r="U1147" i="16"/>
  <c r="U919" i="16"/>
  <c r="U1085" i="16"/>
  <c r="U829" i="16"/>
  <c r="U997" i="16"/>
  <c r="U948" i="16"/>
  <c r="U625" i="16"/>
  <c r="U295" i="16"/>
  <c r="U512" i="16"/>
  <c r="U370" i="16"/>
  <c r="U490" i="16"/>
  <c r="U1273" i="16"/>
  <c r="U847" i="16"/>
  <c r="U395" i="16"/>
  <c r="U1092" i="16"/>
  <c r="U473" i="16"/>
  <c r="U797" i="16"/>
  <c r="U563" i="16"/>
  <c r="U369" i="16"/>
  <c r="U735" i="16"/>
  <c r="U1137" i="16"/>
  <c r="U1045" i="16"/>
  <c r="U1021" i="16"/>
  <c r="U943" i="16"/>
  <c r="U855" i="16"/>
  <c r="U441" i="16"/>
  <c r="U819" i="16"/>
  <c r="U330" i="16"/>
  <c r="U1049" i="16"/>
  <c r="U1257" i="16"/>
  <c r="U800" i="16"/>
  <c r="U860" i="16"/>
  <c r="U947" i="16"/>
  <c r="U879" i="16"/>
  <c r="U935" i="16"/>
  <c r="U1107" i="16"/>
  <c r="U1170" i="16"/>
  <c r="U360" i="16"/>
  <c r="U1128" i="16"/>
  <c r="U416" i="16"/>
  <c r="U659" i="16"/>
  <c r="U589" i="16"/>
  <c r="U1112" i="16"/>
  <c r="U515" i="16"/>
  <c r="U725" i="16"/>
  <c r="U699" i="16"/>
  <c r="U890" i="16"/>
  <c r="U635" i="16"/>
  <c r="U417" i="16"/>
  <c r="U1156" i="16"/>
  <c r="U586" i="16"/>
  <c r="U794" i="16"/>
  <c r="U905" i="16"/>
  <c r="U529" i="16"/>
  <c r="U1220" i="16"/>
  <c r="U508" i="16"/>
  <c r="U609" i="16"/>
  <c r="U897" i="16"/>
  <c r="U401" i="16"/>
  <c r="U703" i="16"/>
  <c r="U810" i="16"/>
  <c r="U828" i="16"/>
  <c r="U1252" i="16"/>
  <c r="U704" i="16"/>
  <c r="U569" i="16"/>
  <c r="U639" i="16"/>
  <c r="U971" i="16"/>
  <c r="U485" i="16"/>
  <c r="U928" i="16"/>
  <c r="U457" i="16"/>
  <c r="U1075" i="16"/>
  <c r="U559" i="16"/>
  <c r="U1056" i="16"/>
  <c r="U353" i="16"/>
  <c r="U1035" i="16"/>
  <c r="U769" i="16"/>
  <c r="U1258" i="16"/>
  <c r="U917" i="16"/>
  <c r="U799" i="16"/>
  <c r="U505" i="16"/>
  <c r="U712" i="16"/>
  <c r="U968" i="16"/>
  <c r="U1153" i="16"/>
  <c r="U877" i="16"/>
  <c r="U1009" i="16"/>
  <c r="U739" i="16"/>
  <c r="U715" i="16"/>
  <c r="U1152" i="16"/>
  <c r="U852" i="16"/>
  <c r="U720" i="16"/>
  <c r="U676" i="16"/>
  <c r="U956" i="16"/>
  <c r="U426" i="16"/>
  <c r="U1212" i="16"/>
  <c r="U1166" i="16"/>
  <c r="U335" i="16"/>
  <c r="U1072" i="16"/>
  <c r="U1000" i="16"/>
  <c r="U713" i="16"/>
  <c r="U856" i="16"/>
  <c r="U787" i="16"/>
  <c r="U556" i="16"/>
  <c r="U1104" i="16"/>
  <c r="U804" i="16"/>
  <c r="U986" i="16"/>
  <c r="U1277" i="16"/>
  <c r="U548" i="16"/>
  <c r="U584" i="16"/>
  <c r="U904" i="16"/>
  <c r="U1013" i="16"/>
  <c r="F972" i="16"/>
  <c r="H972" i="16"/>
  <c r="J972" i="16"/>
  <c r="D972" i="16"/>
  <c r="U617" i="16"/>
  <c r="G1178" i="16"/>
  <c r="I1178" i="16"/>
  <c r="U698" i="16"/>
  <c r="D1178" i="16"/>
  <c r="U1178" i="16" s="1"/>
  <c r="U803" i="16"/>
  <c r="G819" i="16"/>
  <c r="J819" i="16"/>
  <c r="I819" i="16"/>
  <c r="G942" i="16"/>
  <c r="D942" i="16"/>
  <c r="F942" i="16"/>
  <c r="I942" i="16"/>
  <c r="E942" i="16"/>
  <c r="H1178" i="16"/>
  <c r="U885" i="16"/>
  <c r="F1178" i="16"/>
  <c r="E498" i="16"/>
  <c r="H498" i="16"/>
  <c r="F498" i="16"/>
  <c r="U1214" i="16"/>
  <c r="E972" i="16"/>
  <c r="U833" i="16"/>
  <c r="G972" i="16"/>
  <c r="U808" i="16"/>
  <c r="U435" i="16"/>
  <c r="E608" i="16"/>
  <c r="U608" i="16" s="1"/>
  <c r="F608" i="16"/>
  <c r="J1221" i="16"/>
  <c r="E1221" i="16"/>
  <c r="U1121" i="16"/>
  <c r="U301" i="16"/>
  <c r="U1232" i="16"/>
  <c r="G1216" i="16"/>
  <c r="J1216" i="16"/>
  <c r="F1216" i="16"/>
  <c r="E1216" i="16"/>
  <c r="U1216" i="16" s="1"/>
  <c r="H1179" i="16"/>
  <c r="J1179" i="16"/>
  <c r="U644" i="16"/>
  <c r="D1234" i="16"/>
  <c r="I1234" i="16"/>
  <c r="J1234" i="16"/>
  <c r="J664" i="16"/>
  <c r="D664" i="16"/>
  <c r="U664" i="16" s="1"/>
  <c r="I664" i="16"/>
  <c r="F1113" i="16"/>
  <c r="D1113" i="16"/>
  <c r="E1113" i="16"/>
  <c r="C9" i="10"/>
  <c r="D9" i="10"/>
  <c r="G575" i="16"/>
  <c r="J1222" i="16"/>
  <c r="I1244" i="16"/>
  <c r="H1244" i="16"/>
  <c r="E1244" i="16"/>
  <c r="U1244" i="16" s="1"/>
  <c r="F894" i="16"/>
  <c r="I894" i="16"/>
  <c r="U984" i="16"/>
  <c r="F1219" i="16"/>
  <c r="G1219" i="16"/>
  <c r="I1219" i="16"/>
  <c r="D61" i="10"/>
  <c r="C61" i="10"/>
  <c r="D642" i="16"/>
  <c r="G642" i="16"/>
  <c r="I1182" i="16"/>
  <c r="D1182" i="16"/>
  <c r="U1182" i="16" s="1"/>
  <c r="U620" i="16"/>
  <c r="D35" i="10"/>
  <c r="D5" i="10"/>
  <c r="G776" i="16"/>
  <c r="D776" i="16"/>
  <c r="U776" i="16" s="1"/>
  <c r="F776" i="16"/>
  <c r="H776" i="16"/>
  <c r="E579" i="16"/>
  <c r="G579" i="16"/>
  <c r="H579" i="16"/>
  <c r="F579" i="16"/>
  <c r="J579" i="16"/>
  <c r="D25" i="10"/>
  <c r="E1110" i="16"/>
  <c r="G1113" i="16"/>
  <c r="E924" i="16"/>
  <c r="G524" i="16"/>
  <c r="D924" i="16"/>
  <c r="G394" i="16"/>
  <c r="F394" i="16"/>
  <c r="S337" i="16"/>
  <c r="G337" i="16" s="1"/>
  <c r="U1285" i="16"/>
  <c r="S1226" i="16"/>
  <c r="U1106" i="16"/>
  <c r="G1283" i="16"/>
  <c r="H1131" i="16"/>
  <c r="G843" i="16"/>
  <c r="P4" i="16"/>
  <c r="U344" i="16"/>
  <c r="U792" i="16" l="1"/>
  <c r="U1064" i="16"/>
  <c r="U634" i="16"/>
  <c r="U260" i="16"/>
  <c r="U1109" i="16"/>
  <c r="U419" i="16"/>
  <c r="U440" i="16"/>
  <c r="U662" i="16"/>
  <c r="U459" i="16"/>
  <c r="U371" i="16"/>
  <c r="U1158" i="16"/>
  <c r="U976" i="16"/>
  <c r="U951" i="16"/>
  <c r="U753" i="16"/>
  <c r="C20" i="10"/>
  <c r="C25" i="10"/>
  <c r="U1162" i="16"/>
  <c r="C23" i="10"/>
  <c r="U933" i="16"/>
  <c r="U388" i="16"/>
  <c r="C18" i="10"/>
  <c r="U743" i="16"/>
  <c r="C16" i="10"/>
  <c r="C30" i="10"/>
  <c r="C13" i="10"/>
  <c r="U607" i="16"/>
  <c r="U1266" i="16"/>
  <c r="U432" i="16"/>
  <c r="U445" i="16"/>
  <c r="U911" i="16"/>
  <c r="U1081" i="16"/>
  <c r="U1095" i="16"/>
  <c r="U338" i="16"/>
  <c r="U297" i="16"/>
  <c r="U1040" i="16"/>
  <c r="U1192" i="16"/>
  <c r="U514" i="16"/>
  <c r="U774" i="16"/>
  <c r="U642" i="16"/>
  <c r="U814" i="16"/>
  <c r="U418" i="16"/>
  <c r="U282" i="16"/>
  <c r="U1189" i="16"/>
  <c r="U545" i="16"/>
  <c r="U1051" i="16"/>
  <c r="U384" i="16"/>
  <c r="U709" i="16"/>
  <c r="C8" i="16"/>
  <c r="C16" i="16"/>
  <c r="C24" i="16"/>
  <c r="C32" i="16"/>
  <c r="C40" i="16"/>
  <c r="C48" i="16"/>
  <c r="C56" i="16"/>
  <c r="C64" i="16"/>
  <c r="C72" i="16"/>
  <c r="C80" i="16"/>
  <c r="C88" i="16"/>
  <c r="C96" i="16"/>
  <c r="C104" i="16"/>
  <c r="C112" i="16"/>
  <c r="C120" i="16"/>
  <c r="C128" i="16"/>
  <c r="C135" i="16"/>
  <c r="C143" i="16"/>
  <c r="C151" i="16"/>
  <c r="C159" i="16"/>
  <c r="C167" i="16"/>
  <c r="C175" i="16"/>
  <c r="C183" i="16"/>
  <c r="C191" i="16"/>
  <c r="C199" i="16"/>
  <c r="C207" i="16"/>
  <c r="C215" i="16"/>
  <c r="C223" i="16"/>
  <c r="C231" i="16"/>
  <c r="C239" i="16"/>
  <c r="C247" i="16"/>
  <c r="C255" i="16"/>
  <c r="B9" i="16"/>
  <c r="B17" i="16"/>
  <c r="B25" i="16"/>
  <c r="B33" i="16"/>
  <c r="B41" i="16"/>
  <c r="B49" i="16"/>
  <c r="B57" i="16"/>
  <c r="B65" i="16"/>
  <c r="B73" i="16"/>
  <c r="B81" i="16"/>
  <c r="B89" i="16"/>
  <c r="B97" i="16"/>
  <c r="B105" i="16"/>
  <c r="B113" i="16"/>
  <c r="B121" i="16"/>
  <c r="B129" i="16"/>
  <c r="B136" i="16"/>
  <c r="B144" i="16"/>
  <c r="B152" i="16"/>
  <c r="B160" i="16"/>
  <c r="B168" i="16"/>
  <c r="B176" i="16"/>
  <c r="B184" i="16"/>
  <c r="B192" i="16"/>
  <c r="B200" i="16"/>
  <c r="B208" i="16"/>
  <c r="B216" i="16"/>
  <c r="B224" i="16"/>
  <c r="B232" i="16"/>
  <c r="B240" i="16"/>
  <c r="B248" i="16"/>
  <c r="B256" i="16"/>
  <c r="C9" i="16"/>
  <c r="C17" i="16"/>
  <c r="C25" i="16"/>
  <c r="C33" i="16"/>
  <c r="C41" i="16"/>
  <c r="C49" i="16"/>
  <c r="C57" i="16"/>
  <c r="C65" i="16"/>
  <c r="C73" i="16"/>
  <c r="C81" i="16"/>
  <c r="C89" i="16"/>
  <c r="C97" i="16"/>
  <c r="C105" i="16"/>
  <c r="S105" i="16" s="1"/>
  <c r="C113" i="16"/>
  <c r="C121" i="16"/>
  <c r="C129" i="16"/>
  <c r="C136" i="16"/>
  <c r="C144" i="16"/>
  <c r="C152" i="16"/>
  <c r="C160" i="16"/>
  <c r="S160" i="16" s="1"/>
  <c r="F160" i="16" s="1"/>
  <c r="C168" i="16"/>
  <c r="S168" i="16" s="1"/>
  <c r="G168" i="16" s="1"/>
  <c r="C176" i="16"/>
  <c r="C184" i="16"/>
  <c r="C192" i="16"/>
  <c r="C200" i="16"/>
  <c r="C208" i="16"/>
  <c r="C216" i="16"/>
  <c r="C224" i="16"/>
  <c r="C232" i="16"/>
  <c r="C240" i="16"/>
  <c r="C248" i="16"/>
  <c r="C256" i="16"/>
  <c r="B10" i="16"/>
  <c r="B18" i="16"/>
  <c r="B26" i="16"/>
  <c r="B34" i="16"/>
  <c r="B42" i="16"/>
  <c r="B50" i="16"/>
  <c r="B58" i="16"/>
  <c r="B66" i="16"/>
  <c r="B74" i="16"/>
  <c r="B82" i="16"/>
  <c r="B90" i="16"/>
  <c r="B98" i="16"/>
  <c r="B106" i="16"/>
  <c r="B114" i="16"/>
  <c r="B122" i="16"/>
  <c r="B130" i="16"/>
  <c r="B137" i="16"/>
  <c r="B145" i="16"/>
  <c r="B153" i="16"/>
  <c r="B161" i="16"/>
  <c r="B169" i="16"/>
  <c r="B177" i="16"/>
  <c r="B185" i="16"/>
  <c r="B193" i="16"/>
  <c r="B201" i="16"/>
  <c r="B209" i="16"/>
  <c r="B217" i="16"/>
  <c r="B225" i="16"/>
  <c r="B233" i="16"/>
  <c r="B241" i="16"/>
  <c r="B249" i="16"/>
  <c r="B257" i="16"/>
  <c r="C10" i="16"/>
  <c r="C18" i="16"/>
  <c r="C26" i="16"/>
  <c r="C34" i="16"/>
  <c r="C42" i="16"/>
  <c r="C50" i="16"/>
  <c r="C58" i="16"/>
  <c r="C66" i="16"/>
  <c r="C74" i="16"/>
  <c r="C82" i="16"/>
  <c r="C90" i="16"/>
  <c r="C98" i="16"/>
  <c r="C106" i="16"/>
  <c r="C114" i="16"/>
  <c r="C122" i="16"/>
  <c r="C130" i="16"/>
  <c r="S130" i="16" s="1"/>
  <c r="G130" i="16" s="1"/>
  <c r="C137" i="16"/>
  <c r="C145" i="16"/>
  <c r="C153" i="16"/>
  <c r="C161" i="16"/>
  <c r="C169" i="16"/>
  <c r="C177" i="16"/>
  <c r="C185" i="16"/>
  <c r="C193" i="16"/>
  <c r="C201" i="16"/>
  <c r="C209" i="16"/>
  <c r="C217" i="16"/>
  <c r="C225" i="16"/>
  <c r="C233" i="16"/>
  <c r="C241" i="16"/>
  <c r="C249" i="16"/>
  <c r="C257" i="16"/>
  <c r="S257" i="16" s="1"/>
  <c r="B11" i="16"/>
  <c r="B19" i="16"/>
  <c r="B27" i="16"/>
  <c r="B35" i="16"/>
  <c r="B43" i="16"/>
  <c r="B51" i="16"/>
  <c r="B59" i="16"/>
  <c r="B67" i="16"/>
  <c r="B75" i="16"/>
  <c r="B83" i="16"/>
  <c r="B91" i="16"/>
  <c r="B99" i="16"/>
  <c r="B107" i="16"/>
  <c r="B115" i="16"/>
  <c r="B123" i="16"/>
  <c r="B131" i="16"/>
  <c r="B138" i="16"/>
  <c r="B146" i="16"/>
  <c r="B154" i="16"/>
  <c r="B162" i="16"/>
  <c r="B170" i="16"/>
  <c r="B178" i="16"/>
  <c r="B186" i="16"/>
  <c r="B194" i="16"/>
  <c r="B202" i="16"/>
  <c r="B210" i="16"/>
  <c r="B218" i="16"/>
  <c r="B226" i="16"/>
  <c r="B234" i="16"/>
  <c r="B242" i="16"/>
  <c r="B250" i="16"/>
  <c r="B258" i="16"/>
  <c r="C11" i="16"/>
  <c r="C19" i="16"/>
  <c r="C27" i="16"/>
  <c r="C35" i="16"/>
  <c r="C43" i="16"/>
  <c r="C51" i="16"/>
  <c r="C59" i="16"/>
  <c r="C67" i="16"/>
  <c r="C75" i="16"/>
  <c r="C83" i="16"/>
  <c r="C91" i="16"/>
  <c r="C99" i="16"/>
  <c r="C107" i="16"/>
  <c r="C115" i="16"/>
  <c r="C123" i="16"/>
  <c r="C131" i="16"/>
  <c r="C138" i="16"/>
  <c r="C146" i="16"/>
  <c r="C154" i="16"/>
  <c r="C162" i="16"/>
  <c r="C170" i="16"/>
  <c r="C178" i="16"/>
  <c r="C186" i="16"/>
  <c r="C194" i="16"/>
  <c r="C202" i="16"/>
  <c r="C210" i="16"/>
  <c r="C218" i="16"/>
  <c r="C226" i="16"/>
  <c r="C234" i="16"/>
  <c r="C242" i="16"/>
  <c r="C250" i="16"/>
  <c r="C258" i="16"/>
  <c r="B12" i="16"/>
  <c r="B20" i="16"/>
  <c r="B28" i="16"/>
  <c r="B36" i="16"/>
  <c r="B44" i="16"/>
  <c r="B52" i="16"/>
  <c r="B60" i="16"/>
  <c r="B68" i="16"/>
  <c r="B76" i="16"/>
  <c r="B84" i="16"/>
  <c r="B92" i="16"/>
  <c r="B100" i="16"/>
  <c r="B108" i="16"/>
  <c r="B116" i="16"/>
  <c r="B124" i="16"/>
  <c r="B139" i="16"/>
  <c r="B147" i="16"/>
  <c r="B155" i="16"/>
  <c r="B163" i="16"/>
  <c r="B171" i="16"/>
  <c r="B179" i="16"/>
  <c r="B187" i="16"/>
  <c r="B195" i="16"/>
  <c r="B203" i="16"/>
  <c r="B211" i="16"/>
  <c r="B219" i="16"/>
  <c r="B227" i="16"/>
  <c r="B235" i="16"/>
  <c r="B243" i="16"/>
  <c r="B251" i="16"/>
  <c r="B259" i="16"/>
  <c r="C12" i="16"/>
  <c r="C20" i="16"/>
  <c r="C28" i="16"/>
  <c r="C36" i="16"/>
  <c r="C44" i="16"/>
  <c r="C52" i="16"/>
  <c r="C60" i="16"/>
  <c r="C68" i="16"/>
  <c r="C76" i="16"/>
  <c r="C84" i="16"/>
  <c r="C92" i="16"/>
  <c r="C100" i="16"/>
  <c r="C108" i="16"/>
  <c r="C116" i="16"/>
  <c r="C124" i="16"/>
  <c r="C139" i="16"/>
  <c r="C147" i="16"/>
  <c r="C155" i="16"/>
  <c r="C163" i="16"/>
  <c r="C171" i="16"/>
  <c r="C179" i="16"/>
  <c r="C187" i="16"/>
  <c r="C195" i="16"/>
  <c r="C203" i="16"/>
  <c r="C211" i="16"/>
  <c r="C219" i="16"/>
  <c r="C227" i="16"/>
  <c r="C235" i="16"/>
  <c r="C243" i="16"/>
  <c r="C251" i="16"/>
  <c r="C259" i="16"/>
  <c r="B5" i="16"/>
  <c r="B13" i="16"/>
  <c r="B21" i="16"/>
  <c r="B29" i="16"/>
  <c r="B37" i="16"/>
  <c r="B45" i="16"/>
  <c r="B53" i="16"/>
  <c r="B61" i="16"/>
  <c r="B69" i="16"/>
  <c r="B77" i="16"/>
  <c r="B85" i="16"/>
  <c r="B93" i="16"/>
  <c r="B101" i="16"/>
  <c r="B109" i="16"/>
  <c r="B117" i="16"/>
  <c r="B125" i="16"/>
  <c r="B132" i="16"/>
  <c r="B140" i="16"/>
  <c r="B148" i="16"/>
  <c r="B156" i="16"/>
  <c r="B164" i="16"/>
  <c r="B172" i="16"/>
  <c r="B180" i="16"/>
  <c r="B188" i="16"/>
  <c r="B196" i="16"/>
  <c r="B204" i="16"/>
  <c r="B212" i="16"/>
  <c r="B220" i="16"/>
  <c r="B228" i="16"/>
  <c r="B236" i="16"/>
  <c r="B244" i="16"/>
  <c r="B252" i="16"/>
  <c r="C6" i="16"/>
  <c r="C14" i="16"/>
  <c r="C22" i="16"/>
  <c r="C30" i="16"/>
  <c r="C38" i="16"/>
  <c r="C46" i="16"/>
  <c r="C54" i="16"/>
  <c r="C62" i="16"/>
  <c r="C70" i="16"/>
  <c r="C78" i="16"/>
  <c r="C86" i="16"/>
  <c r="C94" i="16"/>
  <c r="C102" i="16"/>
  <c r="C110" i="16"/>
  <c r="C118" i="16"/>
  <c r="C126" i="16"/>
  <c r="C133" i="16"/>
  <c r="C141" i="16"/>
  <c r="C149" i="16"/>
  <c r="C157" i="16"/>
  <c r="C165" i="16"/>
  <c r="C173" i="16"/>
  <c r="C181" i="16"/>
  <c r="C189" i="16"/>
  <c r="C197" i="16"/>
  <c r="C205" i="16"/>
  <c r="C213" i="16"/>
  <c r="C221" i="16"/>
  <c r="C229" i="16"/>
  <c r="C237" i="16"/>
  <c r="C245" i="16"/>
  <c r="C253" i="16"/>
  <c r="B7" i="16"/>
  <c r="B15" i="16"/>
  <c r="B23" i="16"/>
  <c r="B31" i="16"/>
  <c r="B39" i="16"/>
  <c r="B47" i="16"/>
  <c r="B55" i="16"/>
  <c r="B63" i="16"/>
  <c r="B71" i="16"/>
  <c r="B79" i="16"/>
  <c r="B87" i="16"/>
  <c r="B95" i="16"/>
  <c r="B103" i="16"/>
  <c r="B111" i="16"/>
  <c r="B119" i="16"/>
  <c r="B127" i="16"/>
  <c r="B134" i="16"/>
  <c r="B142" i="16"/>
  <c r="B150" i="16"/>
  <c r="B158" i="16"/>
  <c r="B166" i="16"/>
  <c r="B174" i="16"/>
  <c r="B182" i="16"/>
  <c r="B190" i="16"/>
  <c r="B198" i="16"/>
  <c r="B206" i="16"/>
  <c r="B214" i="16"/>
  <c r="B222" i="16"/>
  <c r="B230" i="16"/>
  <c r="B238" i="16"/>
  <c r="B246" i="16"/>
  <c r="B254" i="16"/>
  <c r="C7" i="16"/>
  <c r="S7" i="16" s="1"/>
  <c r="D7" i="16" s="1"/>
  <c r="C15" i="16"/>
  <c r="C23" i="16"/>
  <c r="C31" i="16"/>
  <c r="C39" i="16"/>
  <c r="S39" i="16" s="1"/>
  <c r="F39" i="16" s="1"/>
  <c r="C47" i="16"/>
  <c r="C55" i="16"/>
  <c r="C63" i="16"/>
  <c r="S63" i="16" s="1"/>
  <c r="G63" i="16" s="1"/>
  <c r="C71" i="16"/>
  <c r="S71" i="16" s="1"/>
  <c r="G71" i="16" s="1"/>
  <c r="C79" i="16"/>
  <c r="S79" i="16" s="1"/>
  <c r="G79" i="16" s="1"/>
  <c r="C87" i="16"/>
  <c r="S87" i="16" s="1"/>
  <c r="E87" i="16" s="1"/>
  <c r="C95" i="16"/>
  <c r="S95" i="16" s="1"/>
  <c r="G95" i="16" s="1"/>
  <c r="C103" i="16"/>
  <c r="S103" i="16" s="1"/>
  <c r="E103" i="16" s="1"/>
  <c r="C111" i="16"/>
  <c r="C119" i="16"/>
  <c r="C127" i="16"/>
  <c r="C134" i="16"/>
  <c r="S134" i="16" s="1"/>
  <c r="H134" i="16" s="1"/>
  <c r="C142" i="16"/>
  <c r="S142" i="16" s="1"/>
  <c r="G142" i="16" s="1"/>
  <c r="C150" i="16"/>
  <c r="C158" i="16"/>
  <c r="S158" i="16" s="1"/>
  <c r="D158" i="16" s="1"/>
  <c r="C166" i="16"/>
  <c r="C174" i="16"/>
  <c r="C182" i="16"/>
  <c r="S182" i="16" s="1"/>
  <c r="G182" i="16" s="1"/>
  <c r="C190" i="16"/>
  <c r="S190" i="16" s="1"/>
  <c r="F190" i="16" s="1"/>
  <c r="C198" i="16"/>
  <c r="C206" i="16"/>
  <c r="S206" i="16" s="1"/>
  <c r="G206" i="16" s="1"/>
  <c r="C214" i="16"/>
  <c r="C222" i="16"/>
  <c r="S222" i="16" s="1"/>
  <c r="G222" i="16" s="1"/>
  <c r="C230" i="16"/>
  <c r="C238" i="16"/>
  <c r="S238" i="16" s="1"/>
  <c r="I238" i="16" s="1"/>
  <c r="C246" i="16"/>
  <c r="S246" i="16" s="1"/>
  <c r="G246" i="16" s="1"/>
  <c r="C254" i="16"/>
  <c r="B8" i="16"/>
  <c r="B16" i="16"/>
  <c r="Y16" i="16" s="1"/>
  <c r="B24" i="16"/>
  <c r="B32" i="16"/>
  <c r="B40" i="16"/>
  <c r="B48" i="16"/>
  <c r="B56" i="16"/>
  <c r="B64" i="16"/>
  <c r="B72" i="16"/>
  <c r="B80" i="16"/>
  <c r="Y80" i="16" s="1"/>
  <c r="B88" i="16"/>
  <c r="B96" i="16"/>
  <c r="B104" i="16"/>
  <c r="B112" i="16"/>
  <c r="B120" i="16"/>
  <c r="B128" i="16"/>
  <c r="B135" i="16"/>
  <c r="B143" i="16"/>
  <c r="Y143" i="16" s="1"/>
  <c r="B151" i="16"/>
  <c r="B159" i="16"/>
  <c r="B167" i="16"/>
  <c r="B175" i="16"/>
  <c r="B183" i="16"/>
  <c r="B191" i="16"/>
  <c r="B199" i="16"/>
  <c r="B207" i="16"/>
  <c r="B215" i="16"/>
  <c r="B223" i="16"/>
  <c r="B231" i="16"/>
  <c r="B239" i="16"/>
  <c r="B247" i="16"/>
  <c r="B255" i="16"/>
  <c r="C29" i="16"/>
  <c r="C93" i="16"/>
  <c r="C156" i="16"/>
  <c r="C220" i="16"/>
  <c r="B38" i="16"/>
  <c r="Y38" i="16" s="1"/>
  <c r="B102" i="16"/>
  <c r="B165" i="16"/>
  <c r="B229" i="16"/>
  <c r="C37" i="16"/>
  <c r="C101" i="16"/>
  <c r="C164" i="16"/>
  <c r="C228" i="16"/>
  <c r="B46" i="16"/>
  <c r="B110" i="16"/>
  <c r="Y110" i="16" s="1"/>
  <c r="B173" i="16"/>
  <c r="B237" i="16"/>
  <c r="C45" i="16"/>
  <c r="C109" i="16"/>
  <c r="C172" i="16"/>
  <c r="C236" i="16"/>
  <c r="B54" i="16"/>
  <c r="B118" i="16"/>
  <c r="B181" i="16"/>
  <c r="Y181" i="16" s="1"/>
  <c r="B245" i="16"/>
  <c r="C53" i="16"/>
  <c r="C117" i="16"/>
  <c r="C180" i="16"/>
  <c r="C244" i="16"/>
  <c r="B62" i="16"/>
  <c r="B126" i="16"/>
  <c r="B189" i="16"/>
  <c r="B253" i="16"/>
  <c r="Y253" i="16" s="1"/>
  <c r="C61" i="16"/>
  <c r="C125" i="16"/>
  <c r="C188" i="16"/>
  <c r="C252" i="16"/>
  <c r="B6" i="16"/>
  <c r="B70" i="16"/>
  <c r="B133" i="16"/>
  <c r="B197" i="16"/>
  <c r="C13" i="16"/>
  <c r="C77" i="16"/>
  <c r="C140" i="16"/>
  <c r="C204" i="16"/>
  <c r="B22" i="16"/>
  <c r="B86" i="16"/>
  <c r="B149" i="16"/>
  <c r="B213" i="16"/>
  <c r="C21" i="16"/>
  <c r="C85" i="16"/>
  <c r="C148" i="16"/>
  <c r="C212" i="16"/>
  <c r="B30" i="16"/>
  <c r="B94" i="16"/>
  <c r="B157" i="16"/>
  <c r="B221" i="16"/>
  <c r="C196" i="16"/>
  <c r="B14" i="16"/>
  <c r="Y14" i="16" s="1"/>
  <c r="B78" i="16"/>
  <c r="B141" i="16"/>
  <c r="B205" i="16"/>
  <c r="C69" i="16"/>
  <c r="C132" i="16"/>
  <c r="C5" i="16"/>
  <c r="U1087" i="16"/>
  <c r="U1089" i="16"/>
  <c r="U746" i="16"/>
  <c r="U1207" i="16"/>
  <c r="U550" i="16"/>
  <c r="U964" i="16"/>
  <c r="U591" i="16"/>
  <c r="J486" i="16"/>
  <c r="H486" i="16"/>
  <c r="E486" i="16"/>
  <c r="D486" i="16"/>
  <c r="F486" i="16"/>
  <c r="I486" i="16"/>
  <c r="J758" i="16"/>
  <c r="H758" i="16"/>
  <c r="E758" i="16"/>
  <c r="D758" i="16"/>
  <c r="F758" i="16"/>
  <c r="G967" i="16"/>
  <c r="F967" i="16"/>
  <c r="J967" i="16"/>
  <c r="E967" i="16"/>
  <c r="H967" i="16"/>
  <c r="D967" i="16"/>
  <c r="I967" i="16"/>
  <c r="I606" i="16"/>
  <c r="D606" i="16"/>
  <c r="H750" i="16"/>
  <c r="I750" i="16"/>
  <c r="F750" i="16"/>
  <c r="E750" i="16"/>
  <c r="D750" i="16"/>
  <c r="J750" i="16"/>
  <c r="E934" i="16"/>
  <c r="H934" i="16"/>
  <c r="F934" i="16"/>
  <c r="I934" i="16"/>
  <c r="J934" i="16"/>
  <c r="D934" i="16"/>
  <c r="F1127" i="16"/>
  <c r="H1127" i="16"/>
  <c r="E1127" i="16"/>
  <c r="I1127" i="16"/>
  <c r="D1127" i="16"/>
  <c r="J1127" i="16"/>
  <c r="I734" i="16"/>
  <c r="H734" i="16"/>
  <c r="D734" i="16"/>
  <c r="E734" i="16"/>
  <c r="F734" i="16"/>
  <c r="J734" i="16"/>
  <c r="I494" i="16"/>
  <c r="H494" i="16"/>
  <c r="J494" i="16"/>
  <c r="F494" i="16"/>
  <c r="E494" i="16"/>
  <c r="D494" i="16"/>
  <c r="H694" i="16"/>
  <c r="I694" i="16"/>
  <c r="D694" i="16"/>
  <c r="E694" i="16"/>
  <c r="J694" i="16"/>
  <c r="F694" i="16"/>
  <c r="I678" i="16"/>
  <c r="E678" i="16"/>
  <c r="H678" i="16"/>
  <c r="J678" i="16"/>
  <c r="D678" i="16"/>
  <c r="F678" i="16"/>
  <c r="H942" i="16"/>
  <c r="J942" i="16"/>
  <c r="F637" i="16"/>
  <c r="G758" i="16"/>
  <c r="I910" i="16"/>
  <c r="I358" i="16"/>
  <c r="E358" i="16"/>
  <c r="U358" i="16" s="1"/>
  <c r="F358" i="16"/>
  <c r="H358" i="16"/>
  <c r="D1111" i="16"/>
  <c r="E1111" i="16"/>
  <c r="I1111" i="16"/>
  <c r="F1111" i="16"/>
  <c r="J1111" i="16"/>
  <c r="J342" i="16"/>
  <c r="I342" i="16"/>
  <c r="E342" i="16"/>
  <c r="D342" i="16"/>
  <c r="H342" i="16"/>
  <c r="F342" i="16"/>
  <c r="I462" i="16"/>
  <c r="J462" i="16"/>
  <c r="H462" i="16"/>
  <c r="F462" i="16"/>
  <c r="D462" i="16"/>
  <c r="E462" i="16"/>
  <c r="F1143" i="16"/>
  <c r="D1143" i="16"/>
  <c r="I1143" i="16"/>
  <c r="E1143" i="16"/>
  <c r="H1143" i="16"/>
  <c r="E1263" i="16"/>
  <c r="H1263" i="16"/>
  <c r="I1263" i="16"/>
  <c r="F1263" i="16"/>
  <c r="D1263" i="16"/>
  <c r="J1263" i="16"/>
  <c r="F582" i="16"/>
  <c r="I582" i="16"/>
  <c r="J582" i="16"/>
  <c r="D582" i="16"/>
  <c r="E582" i="16"/>
  <c r="H582" i="16"/>
  <c r="F710" i="16"/>
  <c r="D710" i="16"/>
  <c r="J710" i="16"/>
  <c r="H710" i="16"/>
  <c r="I710" i="16"/>
  <c r="E710" i="16"/>
  <c r="J870" i="16"/>
  <c r="F870" i="16"/>
  <c r="I870" i="16"/>
  <c r="D870" i="16"/>
  <c r="E870" i="16"/>
  <c r="H870" i="16"/>
  <c r="D1023" i="16"/>
  <c r="F1023" i="16"/>
  <c r="E1023" i="16"/>
  <c r="H1023" i="16"/>
  <c r="J1023" i="16"/>
  <c r="I1023" i="16"/>
  <c r="G1199" i="16"/>
  <c r="D1199" i="16"/>
  <c r="J1199" i="16"/>
  <c r="I1199" i="16"/>
  <c r="F1199" i="16"/>
  <c r="E1199" i="16"/>
  <c r="H1199" i="16"/>
  <c r="E350" i="16"/>
  <c r="F350" i="16"/>
  <c r="J350" i="16"/>
  <c r="H350" i="16"/>
  <c r="I350" i="16"/>
  <c r="D350" i="16"/>
  <c r="J742" i="16"/>
  <c r="D742" i="16"/>
  <c r="U742" i="16" s="1"/>
  <c r="H878" i="16"/>
  <c r="D878" i="16"/>
  <c r="I878" i="16"/>
  <c r="E878" i="16"/>
  <c r="J878" i="16"/>
  <c r="F878" i="16"/>
  <c r="F1039" i="16"/>
  <c r="D1039" i="16"/>
  <c r="U1039" i="16" s="1"/>
  <c r="I1039" i="16"/>
  <c r="E1135" i="16"/>
  <c r="F1135" i="16"/>
  <c r="D1135" i="16"/>
  <c r="H1135" i="16"/>
  <c r="J1135" i="16"/>
  <c r="I1135" i="16"/>
  <c r="E637" i="16"/>
  <c r="U637" i="16" s="1"/>
  <c r="D526" i="16"/>
  <c r="J526" i="16"/>
  <c r="H526" i="16"/>
  <c r="I526" i="16"/>
  <c r="F526" i="16"/>
  <c r="E526" i="16"/>
  <c r="H806" i="16"/>
  <c r="D806" i="16"/>
  <c r="J806" i="16"/>
  <c r="E806" i="16"/>
  <c r="I806" i="16"/>
  <c r="F806" i="16"/>
  <c r="H654" i="16"/>
  <c r="E654" i="16"/>
  <c r="I654" i="16"/>
  <c r="J654" i="16"/>
  <c r="F654" i="16"/>
  <c r="D654" i="16"/>
  <c r="H798" i="16"/>
  <c r="I798" i="16"/>
  <c r="F798" i="16"/>
  <c r="D798" i="16"/>
  <c r="J798" i="16"/>
  <c r="E798" i="16"/>
  <c r="F991" i="16"/>
  <c r="I991" i="16"/>
  <c r="H991" i="16"/>
  <c r="E991" i="16"/>
  <c r="D991" i="16"/>
  <c r="J991" i="16"/>
  <c r="D1175" i="16"/>
  <c r="I1175" i="16"/>
  <c r="J1175" i="16"/>
  <c r="F1175" i="16"/>
  <c r="E1175" i="16"/>
  <c r="H1175" i="16"/>
  <c r="J286" i="16"/>
  <c r="H286" i="16"/>
  <c r="D286" i="16"/>
  <c r="F286" i="16"/>
  <c r="I286" i="16"/>
  <c r="E286" i="16"/>
  <c r="E430" i="16"/>
  <c r="U430" i="16" s="1"/>
  <c r="I430" i="16"/>
  <c r="I542" i="16"/>
  <c r="E542" i="16"/>
  <c r="U542" i="16" s="1"/>
  <c r="H1271" i="16"/>
  <c r="D1271" i="16"/>
  <c r="E1271" i="16"/>
  <c r="I1271" i="16"/>
  <c r="F1271" i="16"/>
  <c r="J1271" i="16"/>
  <c r="H726" i="16"/>
  <c r="J726" i="16"/>
  <c r="D726" i="16"/>
  <c r="I726" i="16"/>
  <c r="E726" i="16"/>
  <c r="F726" i="16"/>
  <c r="I374" i="16"/>
  <c r="J374" i="16"/>
  <c r="H606" i="16"/>
  <c r="H637" i="16"/>
  <c r="E910" i="16"/>
  <c r="E406" i="16"/>
  <c r="F406" i="16"/>
  <c r="J406" i="16"/>
  <c r="D406" i="16"/>
  <c r="I406" i="16"/>
  <c r="H406" i="16"/>
  <c r="D1015" i="16"/>
  <c r="E1015" i="16"/>
  <c r="F1015" i="16"/>
  <c r="H1015" i="16"/>
  <c r="I1015" i="16"/>
  <c r="J1015" i="16"/>
  <c r="E510" i="16"/>
  <c r="H510" i="16"/>
  <c r="I510" i="16"/>
  <c r="J510" i="16"/>
  <c r="D510" i="16"/>
  <c r="F510" i="16"/>
  <c r="F782" i="16"/>
  <c r="I782" i="16"/>
  <c r="H782" i="16"/>
  <c r="D782" i="16"/>
  <c r="J782" i="16"/>
  <c r="E782" i="16"/>
  <c r="D1007" i="16"/>
  <c r="E1007" i="16"/>
  <c r="H1007" i="16"/>
  <c r="J1007" i="16"/>
  <c r="F1007" i="16"/>
  <c r="I1007" i="16"/>
  <c r="G334" i="16"/>
  <c r="D334" i="16"/>
  <c r="U334" i="16" s="1"/>
  <c r="H622" i="16"/>
  <c r="I622" i="16"/>
  <c r="E622" i="16"/>
  <c r="F622" i="16"/>
  <c r="D622" i="16"/>
  <c r="J622" i="16"/>
  <c r="J766" i="16"/>
  <c r="D766" i="16"/>
  <c r="H766" i="16"/>
  <c r="E766" i="16"/>
  <c r="F766" i="16"/>
  <c r="I766" i="16"/>
  <c r="E918" i="16"/>
  <c r="F918" i="16"/>
  <c r="J918" i="16"/>
  <c r="I918" i="16"/>
  <c r="D918" i="16"/>
  <c r="H918" i="16"/>
  <c r="I1071" i="16"/>
  <c r="D1071" i="16"/>
  <c r="J1071" i="16"/>
  <c r="H1071" i="16"/>
  <c r="E1071" i="16"/>
  <c r="F1071" i="16"/>
  <c r="F398" i="16"/>
  <c r="D398" i="16"/>
  <c r="J398" i="16"/>
  <c r="H398" i="16"/>
  <c r="E398" i="16"/>
  <c r="I398" i="16"/>
  <c r="J926" i="16"/>
  <c r="E926" i="16"/>
  <c r="H926" i="16"/>
  <c r="D926" i="16"/>
  <c r="D598" i="16"/>
  <c r="I598" i="16"/>
  <c r="E598" i="16"/>
  <c r="J598" i="16"/>
  <c r="F598" i="16"/>
  <c r="H598" i="16"/>
  <c r="I838" i="16"/>
  <c r="J838" i="16"/>
  <c r="D838" i="16"/>
  <c r="F838" i="16"/>
  <c r="E838" i="16"/>
  <c r="H838" i="16"/>
  <c r="D999" i="16"/>
  <c r="I999" i="16"/>
  <c r="F999" i="16"/>
  <c r="H999" i="16"/>
  <c r="J999" i="16"/>
  <c r="E999" i="16"/>
  <c r="J1215" i="16"/>
  <c r="D1215" i="16"/>
  <c r="F1215" i="16"/>
  <c r="E1215" i="16"/>
  <c r="H1215" i="16"/>
  <c r="I1215" i="16"/>
  <c r="E374" i="16"/>
  <c r="H374" i="16"/>
  <c r="I637" i="16"/>
  <c r="U412" i="16"/>
  <c r="U778" i="16"/>
  <c r="U640" i="16"/>
  <c r="D438" i="16"/>
  <c r="U438" i="16" s="1"/>
  <c r="I438" i="16"/>
  <c r="F574" i="16"/>
  <c r="D574" i="16"/>
  <c r="U574" i="16" s="1"/>
  <c r="I574" i="16"/>
  <c r="J574" i="16"/>
  <c r="H574" i="16"/>
  <c r="G854" i="16"/>
  <c r="I854" i="16"/>
  <c r="E854" i="16"/>
  <c r="J854" i="16"/>
  <c r="D854" i="16"/>
  <c r="H854" i="16"/>
  <c r="F854" i="16"/>
  <c r="E1151" i="16"/>
  <c r="I1151" i="16"/>
  <c r="D1151" i="16"/>
  <c r="J1151" i="16"/>
  <c r="F1151" i="16"/>
  <c r="H1151" i="16"/>
  <c r="D1280" i="16"/>
  <c r="F1280" i="16"/>
  <c r="I1280" i="16"/>
  <c r="H1280" i="16"/>
  <c r="J1280" i="16"/>
  <c r="E1280" i="16"/>
  <c r="E390" i="16"/>
  <c r="D390" i="16"/>
  <c r="H390" i="16"/>
  <c r="J390" i="16"/>
  <c r="F390" i="16"/>
  <c r="I390" i="16"/>
  <c r="E846" i="16"/>
  <c r="F846" i="16"/>
  <c r="I846" i="16"/>
  <c r="D846" i="16"/>
  <c r="H846" i="16"/>
  <c r="J846" i="16"/>
  <c r="E1031" i="16"/>
  <c r="J1031" i="16"/>
  <c r="H1031" i="16"/>
  <c r="I1031" i="16"/>
  <c r="D1031" i="16"/>
  <c r="F1031" i="16"/>
  <c r="H318" i="16"/>
  <c r="I318" i="16"/>
  <c r="D318" i="16"/>
  <c r="F318" i="16"/>
  <c r="E318" i="16"/>
  <c r="J318" i="16"/>
  <c r="H1191" i="16"/>
  <c r="J1191" i="16"/>
  <c r="F1191" i="16"/>
  <c r="I1191" i="16"/>
  <c r="D1191" i="16"/>
  <c r="U1191" i="16" s="1"/>
  <c r="H478" i="16"/>
  <c r="J478" i="16"/>
  <c r="E478" i="16"/>
  <c r="D478" i="16"/>
  <c r="I478" i="16"/>
  <c r="F478" i="16"/>
  <c r="H1119" i="16"/>
  <c r="F1119" i="16"/>
  <c r="J1119" i="16"/>
  <c r="I1247" i="16"/>
  <c r="D1247" i="16"/>
  <c r="E1247" i="16"/>
  <c r="F1247" i="16"/>
  <c r="H1247" i="16"/>
  <c r="J1247" i="16"/>
  <c r="H590" i="16"/>
  <c r="J590" i="16"/>
  <c r="E590" i="16"/>
  <c r="U590" i="16" s="1"/>
  <c r="I590" i="16"/>
  <c r="D790" i="16"/>
  <c r="E790" i="16"/>
  <c r="I790" i="16"/>
  <c r="H790" i="16"/>
  <c r="F1183" i="16"/>
  <c r="H1183" i="16"/>
  <c r="J1183" i="16"/>
  <c r="E1183" i="16"/>
  <c r="D1183" i="16"/>
  <c r="I1183" i="16"/>
  <c r="F278" i="16"/>
  <c r="I278" i="16"/>
  <c r="H278" i="16"/>
  <c r="J278" i="16"/>
  <c r="J1047" i="16"/>
  <c r="D1047" i="16"/>
  <c r="F1047" i="16"/>
  <c r="I1047" i="16"/>
  <c r="H1047" i="16"/>
  <c r="E1047" i="16"/>
  <c r="E606" i="16"/>
  <c r="J637" i="16"/>
  <c r="I758" i="16"/>
  <c r="I262" i="16"/>
  <c r="H262" i="16"/>
  <c r="J262" i="16"/>
  <c r="E262" i="16"/>
  <c r="U262" i="16" s="1"/>
  <c r="D1063" i="16"/>
  <c r="F1063" i="16"/>
  <c r="E1063" i="16"/>
  <c r="J1063" i="16"/>
  <c r="H1063" i="16"/>
  <c r="I1063" i="16"/>
  <c r="F830" i="16"/>
  <c r="J830" i="16"/>
  <c r="H830" i="16"/>
  <c r="E830" i="16"/>
  <c r="I830" i="16"/>
  <c r="D830" i="16"/>
  <c r="F702" i="16"/>
  <c r="I702" i="16"/>
  <c r="J702" i="16"/>
  <c r="H702" i="16"/>
  <c r="D702" i="16"/>
  <c r="E702" i="16"/>
  <c r="H862" i="16"/>
  <c r="J862" i="16"/>
  <c r="I1055" i="16"/>
  <c r="F1055" i="16"/>
  <c r="H1055" i="16"/>
  <c r="D1055" i="16"/>
  <c r="J1055" i="16"/>
  <c r="E1055" i="16"/>
  <c r="I446" i="16"/>
  <c r="E446" i="16"/>
  <c r="J446" i="16"/>
  <c r="F446" i="16"/>
  <c r="H446" i="16"/>
  <c r="D446" i="16"/>
  <c r="G830" i="16"/>
  <c r="J518" i="16"/>
  <c r="D518" i="16"/>
  <c r="H518" i="16"/>
  <c r="I518" i="16"/>
  <c r="E518" i="16"/>
  <c r="F518" i="16"/>
  <c r="E638" i="16"/>
  <c r="I638" i="16"/>
  <c r="J638" i="16"/>
  <c r="F638" i="16"/>
  <c r="D638" i="16"/>
  <c r="H638" i="16"/>
  <c r="G1047" i="16"/>
  <c r="E1255" i="16"/>
  <c r="D1255" i="16"/>
  <c r="H1255" i="16"/>
  <c r="I1255" i="16"/>
  <c r="J1255" i="16"/>
  <c r="F1255" i="16"/>
  <c r="F606" i="16"/>
  <c r="D910" i="16"/>
  <c r="G486" i="16"/>
  <c r="F718" i="16"/>
  <c r="E718" i="16"/>
  <c r="D718" i="16"/>
  <c r="J718" i="16"/>
  <c r="I718" i="16"/>
  <c r="H718" i="16"/>
  <c r="I902" i="16"/>
  <c r="D902" i="16"/>
  <c r="H902" i="16"/>
  <c r="F902" i="16"/>
  <c r="J902" i="16"/>
  <c r="E902" i="16"/>
  <c r="F302" i="16"/>
  <c r="E302" i="16"/>
  <c r="I302" i="16"/>
  <c r="H302" i="16"/>
  <c r="J302" i="16"/>
  <c r="D302" i="16"/>
  <c r="D454" i="16"/>
  <c r="E454" i="16"/>
  <c r="F454" i="16"/>
  <c r="J454" i="16"/>
  <c r="I454" i="16"/>
  <c r="H454" i="16"/>
  <c r="G606" i="16"/>
  <c r="G750" i="16"/>
  <c r="F886" i="16"/>
  <c r="H886" i="16"/>
  <c r="I886" i="16"/>
  <c r="J886" i="16"/>
  <c r="E886" i="16"/>
  <c r="D886" i="16"/>
  <c r="H1079" i="16"/>
  <c r="E1079" i="16"/>
  <c r="D1079" i="16"/>
  <c r="I1079" i="16"/>
  <c r="J1079" i="16"/>
  <c r="F1079" i="16"/>
  <c r="H686" i="16"/>
  <c r="F686" i="16"/>
  <c r="J686" i="16"/>
  <c r="E686" i="16"/>
  <c r="I686" i="16"/>
  <c r="D686" i="16"/>
  <c r="G910" i="16"/>
  <c r="F534" i="16"/>
  <c r="I534" i="16"/>
  <c r="E534" i="16"/>
  <c r="H534" i="16"/>
  <c r="D534" i="16"/>
  <c r="J534" i="16"/>
  <c r="E670" i="16"/>
  <c r="D670" i="16"/>
  <c r="F670" i="16"/>
  <c r="I670" i="16"/>
  <c r="J670" i="16"/>
  <c r="H670" i="16"/>
  <c r="J975" i="16"/>
  <c r="I975" i="16"/>
  <c r="F975" i="16"/>
  <c r="D975" i="16"/>
  <c r="E975" i="16"/>
  <c r="H975" i="16"/>
  <c r="I646" i="16"/>
  <c r="F646" i="16"/>
  <c r="J646" i="16"/>
  <c r="D646" i="16"/>
  <c r="U646" i="16" s="1"/>
  <c r="D983" i="16"/>
  <c r="E983" i="16"/>
  <c r="H983" i="16"/>
  <c r="I983" i="16"/>
  <c r="F983" i="16"/>
  <c r="J983" i="16"/>
  <c r="G678" i="16"/>
  <c r="D894" i="16"/>
  <c r="H894" i="16"/>
  <c r="J894" i="16"/>
  <c r="E894" i="16"/>
  <c r="G374" i="16"/>
  <c r="D374" i="16"/>
  <c r="J606" i="16"/>
  <c r="H910" i="16"/>
  <c r="U405" i="16"/>
  <c r="G310" i="16"/>
  <c r="H310" i="16"/>
  <c r="E310" i="16"/>
  <c r="I310" i="16"/>
  <c r="D310" i="16"/>
  <c r="F310" i="16"/>
  <c r="J310" i="16"/>
  <c r="I614" i="16"/>
  <c r="H614" i="16"/>
  <c r="J614" i="16"/>
  <c r="E614" i="16"/>
  <c r="D614" i="16"/>
  <c r="F614" i="16"/>
  <c r="G934" i="16"/>
  <c r="G1127" i="16"/>
  <c r="F366" i="16"/>
  <c r="H366" i="16"/>
  <c r="G734" i="16"/>
  <c r="J1103" i="16"/>
  <c r="F1103" i="16"/>
  <c r="D1103" i="16"/>
  <c r="I1103" i="16"/>
  <c r="H1103" i="16"/>
  <c r="E1103" i="16"/>
  <c r="I1239" i="16"/>
  <c r="H1239" i="16"/>
  <c r="D1239" i="16"/>
  <c r="J1239" i="16"/>
  <c r="E1239" i="16"/>
  <c r="F1239" i="16"/>
  <c r="H382" i="16"/>
  <c r="J382" i="16"/>
  <c r="E382" i="16"/>
  <c r="D382" i="16"/>
  <c r="F382" i="16"/>
  <c r="I382" i="16"/>
  <c r="J1159" i="16"/>
  <c r="I1159" i="16"/>
  <c r="E1159" i="16"/>
  <c r="H1159" i="16"/>
  <c r="F1159" i="16"/>
  <c r="D1159" i="16"/>
  <c r="E294" i="16"/>
  <c r="J294" i="16"/>
  <c r="F294" i="16"/>
  <c r="H294" i="16"/>
  <c r="D294" i="16"/>
  <c r="I294" i="16"/>
  <c r="G494" i="16"/>
  <c r="G694" i="16"/>
  <c r="G878" i="16"/>
  <c r="G1039" i="16"/>
  <c r="I1223" i="16"/>
  <c r="E1223" i="16"/>
  <c r="H1223" i="16"/>
  <c r="D1223" i="16"/>
  <c r="J1223" i="16"/>
  <c r="F1223" i="16"/>
  <c r="D326" i="16"/>
  <c r="J326" i="16"/>
  <c r="I326" i="16"/>
  <c r="F326" i="16"/>
  <c r="E326" i="16"/>
  <c r="H326" i="16"/>
  <c r="I566" i="16"/>
  <c r="F566" i="16"/>
  <c r="E566" i="16"/>
  <c r="U566" i="16" s="1"/>
  <c r="H566" i="16"/>
  <c r="D1167" i="16"/>
  <c r="I1167" i="16"/>
  <c r="E1167" i="16"/>
  <c r="J1167" i="16"/>
  <c r="E958" i="16"/>
  <c r="H958" i="16"/>
  <c r="D958" i="16"/>
  <c r="J958" i="16"/>
  <c r="F958" i="16"/>
  <c r="I958" i="16"/>
  <c r="U965" i="16"/>
  <c r="U429" i="16"/>
  <c r="U366" i="16"/>
  <c r="U669" i="16"/>
  <c r="F900" i="16"/>
  <c r="E900" i="16"/>
  <c r="I900" i="16"/>
  <c r="F1030" i="16"/>
  <c r="I1030" i="16"/>
  <c r="D1030" i="16"/>
  <c r="J1030" i="16"/>
  <c r="H1030" i="16"/>
  <c r="E1030" i="16"/>
  <c r="F381" i="16"/>
  <c r="H381" i="16"/>
  <c r="D381" i="16"/>
  <c r="J381" i="16"/>
  <c r="E381" i="16"/>
  <c r="I381" i="16"/>
  <c r="H525" i="16"/>
  <c r="D525" i="16"/>
  <c r="G525" i="16"/>
  <c r="I629" i="16"/>
  <c r="D629" i="16"/>
  <c r="H629" i="16"/>
  <c r="E629" i="16"/>
  <c r="F629" i="16"/>
  <c r="J629" i="16"/>
  <c r="E693" i="16"/>
  <c r="H693" i="16"/>
  <c r="J693" i="16"/>
  <c r="F693" i="16"/>
  <c r="D693" i="16"/>
  <c r="I693" i="16"/>
  <c r="F717" i="16"/>
  <c r="I717" i="16"/>
  <c r="J717" i="16"/>
  <c r="H717" i="16"/>
  <c r="E717" i="16"/>
  <c r="D717" i="16"/>
  <c r="H821" i="16"/>
  <c r="I821" i="16"/>
  <c r="D821" i="16"/>
  <c r="E821" i="16"/>
  <c r="F821" i="16"/>
  <c r="J821" i="16"/>
  <c r="H1078" i="16"/>
  <c r="D1078" i="16"/>
  <c r="E1078" i="16"/>
  <c r="F1078" i="16"/>
  <c r="I1078" i="16"/>
  <c r="G1078" i="16"/>
  <c r="J1078" i="16"/>
  <c r="E1102" i="16"/>
  <c r="F1102" i="16"/>
  <c r="J1102" i="16"/>
  <c r="I1102" i="16"/>
  <c r="G1102" i="16"/>
  <c r="D1102" i="16"/>
  <c r="H1102" i="16"/>
  <c r="G1142" i="16"/>
  <c r="J1142" i="16"/>
  <c r="H1142" i="16"/>
  <c r="E1142" i="16"/>
  <c r="I1142" i="16"/>
  <c r="D1142" i="16"/>
  <c r="F1142" i="16"/>
  <c r="J1262" i="16"/>
  <c r="H1262" i="16"/>
  <c r="F1262" i="16"/>
  <c r="E1262" i="16"/>
  <c r="I1262" i="16"/>
  <c r="D1262" i="16"/>
  <c r="D900" i="16"/>
  <c r="F525" i="16"/>
  <c r="J1230" i="16"/>
  <c r="I1230" i="16"/>
  <c r="H1230" i="16"/>
  <c r="G1230" i="16"/>
  <c r="F1230" i="16"/>
  <c r="J277" i="16"/>
  <c r="E277" i="16"/>
  <c r="U277" i="16" s="1"/>
  <c r="F277" i="16"/>
  <c r="H477" i="16"/>
  <c r="I477" i="16"/>
  <c r="G477" i="16"/>
  <c r="E477" i="16"/>
  <c r="J477" i="16"/>
  <c r="F477" i="16"/>
  <c r="D477" i="16"/>
  <c r="E773" i="16"/>
  <c r="F773" i="16"/>
  <c r="I773" i="16"/>
  <c r="H773" i="16"/>
  <c r="D773" i="16"/>
  <c r="J773" i="16"/>
  <c r="J893" i="16"/>
  <c r="I893" i="16"/>
  <c r="F893" i="16"/>
  <c r="H893" i="16"/>
  <c r="E893" i="16"/>
  <c r="D893" i="16"/>
  <c r="F1054" i="16"/>
  <c r="I1054" i="16"/>
  <c r="D1054" i="16"/>
  <c r="J1054" i="16"/>
  <c r="E1054" i="16"/>
  <c r="H1054" i="16"/>
  <c r="H1110" i="16"/>
  <c r="D1110" i="16"/>
  <c r="U1110" i="16" s="1"/>
  <c r="G1110" i="16"/>
  <c r="I1110" i="16"/>
  <c r="F1110" i="16"/>
  <c r="J1110" i="16"/>
  <c r="G900" i="16"/>
  <c r="E525" i="16"/>
  <c r="J357" i="16"/>
  <c r="D357" i="16"/>
  <c r="F357" i="16"/>
  <c r="I357" i="16"/>
  <c r="E357" i="16"/>
  <c r="G357" i="16"/>
  <c r="H357" i="16"/>
  <c r="I421" i="16"/>
  <c r="H421" i="16"/>
  <c r="F421" i="16"/>
  <c r="G421" i="16"/>
  <c r="E421" i="16"/>
  <c r="D421" i="16"/>
  <c r="J421" i="16"/>
  <c r="H741" i="16"/>
  <c r="F741" i="16"/>
  <c r="D741" i="16"/>
  <c r="U741" i="16" s="1"/>
  <c r="G741" i="16"/>
  <c r="D845" i="16"/>
  <c r="G845" i="16"/>
  <c r="J845" i="16"/>
  <c r="E845" i="16"/>
  <c r="F845" i="16"/>
  <c r="G949" i="16"/>
  <c r="H949" i="16"/>
  <c r="J949" i="16"/>
  <c r="I949" i="16"/>
  <c r="F949" i="16"/>
  <c r="D949" i="16"/>
  <c r="E949" i="16"/>
  <c r="I1014" i="16"/>
  <c r="J1014" i="16"/>
  <c r="F1014" i="16"/>
  <c r="H1014" i="16"/>
  <c r="E1014" i="16"/>
  <c r="G1014" i="16"/>
  <c r="D1014" i="16"/>
  <c r="E1150" i="16"/>
  <c r="H1150" i="16"/>
  <c r="I1150" i="16"/>
  <c r="D1150" i="16"/>
  <c r="F1150" i="16"/>
  <c r="J1150" i="16"/>
  <c r="D1238" i="16"/>
  <c r="J1238" i="16"/>
  <c r="H1238" i="16"/>
  <c r="F1238" i="16"/>
  <c r="E1238" i="16"/>
  <c r="I1238" i="16"/>
  <c r="D1278" i="16"/>
  <c r="E1278" i="16"/>
  <c r="F1278" i="16"/>
  <c r="H900" i="16"/>
  <c r="J525" i="16"/>
  <c r="E309" i="16"/>
  <c r="H309" i="16"/>
  <c r="J309" i="16"/>
  <c r="I309" i="16"/>
  <c r="G309" i="16"/>
  <c r="D309" i="16"/>
  <c r="F309" i="16"/>
  <c r="F397" i="16"/>
  <c r="E397" i="16"/>
  <c r="U397" i="16" s="1"/>
  <c r="I397" i="16"/>
  <c r="F493" i="16"/>
  <c r="D493" i="16"/>
  <c r="I493" i="16"/>
  <c r="J493" i="16"/>
  <c r="H493" i="16"/>
  <c r="G493" i="16"/>
  <c r="E493" i="16"/>
  <c r="I541" i="16"/>
  <c r="J541" i="16"/>
  <c r="E541" i="16"/>
  <c r="D541" i="16"/>
  <c r="H541" i="16"/>
  <c r="F541" i="16"/>
  <c r="I805" i="16"/>
  <c r="F805" i="16"/>
  <c r="E805" i="16"/>
  <c r="J805" i="16"/>
  <c r="H805" i="16"/>
  <c r="D805" i="16"/>
  <c r="G1030" i="16"/>
  <c r="G1062" i="16"/>
  <c r="J1062" i="16"/>
  <c r="H1062" i="16"/>
  <c r="I1062" i="16"/>
  <c r="F1062" i="16"/>
  <c r="E1062" i="16"/>
  <c r="D1062" i="16"/>
  <c r="E1086" i="16"/>
  <c r="I1086" i="16"/>
  <c r="F1086" i="16"/>
  <c r="J1086" i="16"/>
  <c r="D1086" i="16"/>
  <c r="H1086" i="16"/>
  <c r="J365" i="16"/>
  <c r="I365" i="16"/>
  <c r="D365" i="16"/>
  <c r="H365" i="16"/>
  <c r="G365" i="16"/>
  <c r="F365" i="16"/>
  <c r="E365" i="16"/>
  <c r="G397" i="16"/>
  <c r="F461" i="16"/>
  <c r="J461" i="16"/>
  <c r="D461" i="16"/>
  <c r="H461" i="16"/>
  <c r="I461" i="16"/>
  <c r="E461" i="16"/>
  <c r="G461" i="16"/>
  <c r="I653" i="16"/>
  <c r="G653" i="16"/>
  <c r="F653" i="16"/>
  <c r="D653" i="16"/>
  <c r="U653" i="16" s="1"/>
  <c r="H653" i="16"/>
  <c r="E677" i="16"/>
  <c r="I677" i="16"/>
  <c r="D677" i="16"/>
  <c r="J677" i="16"/>
  <c r="F677" i="16"/>
  <c r="H677" i="16"/>
  <c r="D749" i="16"/>
  <c r="H749" i="16"/>
  <c r="J749" i="16"/>
  <c r="E749" i="16"/>
  <c r="F749" i="16"/>
  <c r="I749" i="16"/>
  <c r="F901" i="16"/>
  <c r="J901" i="16"/>
  <c r="E901" i="16"/>
  <c r="I901" i="16"/>
  <c r="D901" i="16"/>
  <c r="H901" i="16"/>
  <c r="I974" i="16"/>
  <c r="F974" i="16"/>
  <c r="D974" i="16"/>
  <c r="G974" i="16"/>
  <c r="E974" i="16"/>
  <c r="J974" i="16"/>
  <c r="H974" i="16"/>
  <c r="J998" i="16"/>
  <c r="I998" i="16"/>
  <c r="H998" i="16"/>
  <c r="D998" i="16"/>
  <c r="E998" i="16"/>
  <c r="F998" i="16"/>
  <c r="F1126" i="16"/>
  <c r="I1126" i="16"/>
  <c r="J1126" i="16"/>
  <c r="G1126" i="16"/>
  <c r="E1126" i="16"/>
  <c r="U1126" i="16" s="1"/>
  <c r="J1174" i="16"/>
  <c r="H1174" i="16"/>
  <c r="F1174" i="16"/>
  <c r="E1174" i="16"/>
  <c r="D1174" i="16"/>
  <c r="G1174" i="16"/>
  <c r="I1174" i="16"/>
  <c r="F1246" i="16"/>
  <c r="J1246" i="16"/>
  <c r="E1246" i="16"/>
  <c r="H1246" i="16"/>
  <c r="D1246" i="16"/>
  <c r="G1246" i="16"/>
  <c r="I1246" i="16"/>
  <c r="U1221" i="16"/>
  <c r="F1101" i="16"/>
  <c r="H1101" i="16"/>
  <c r="J1101" i="16"/>
  <c r="D1101" i="16"/>
  <c r="E1101" i="16"/>
  <c r="I1101" i="16"/>
  <c r="I501" i="16"/>
  <c r="J501" i="16"/>
  <c r="D501" i="16"/>
  <c r="F501" i="16"/>
  <c r="H501" i="16"/>
  <c r="E501" i="16"/>
  <c r="F573" i="16"/>
  <c r="H573" i="16"/>
  <c r="E573" i="16"/>
  <c r="J573" i="16"/>
  <c r="I573" i="16"/>
  <c r="D573" i="16"/>
  <c r="F813" i="16"/>
  <c r="I813" i="16"/>
  <c r="G813" i="16"/>
  <c r="E813" i="16"/>
  <c r="D813" i="16"/>
  <c r="J813" i="16"/>
  <c r="H813" i="16"/>
  <c r="J853" i="16"/>
  <c r="I853" i="16"/>
  <c r="D853" i="16"/>
  <c r="E853" i="16"/>
  <c r="H853" i="16"/>
  <c r="F853" i="16"/>
  <c r="J1038" i="16"/>
  <c r="I1038" i="16"/>
  <c r="D1038" i="16"/>
  <c r="F1038" i="16"/>
  <c r="G1038" i="16"/>
  <c r="H1038" i="16"/>
  <c r="E1038" i="16"/>
  <c r="F341" i="16"/>
  <c r="H341" i="16"/>
  <c r="E341" i="16"/>
  <c r="I341" i="16"/>
  <c r="J341" i="16"/>
  <c r="D341" i="16"/>
  <c r="H373" i="16"/>
  <c r="I373" i="16"/>
  <c r="E373" i="16"/>
  <c r="G373" i="16"/>
  <c r="F373" i="16"/>
  <c r="J373" i="16"/>
  <c r="D373" i="16"/>
  <c r="H621" i="16"/>
  <c r="J621" i="16"/>
  <c r="F621" i="16"/>
  <c r="I621" i="16"/>
  <c r="E621" i="16"/>
  <c r="D621" i="16"/>
  <c r="G621" i="16"/>
  <c r="J661" i="16"/>
  <c r="G661" i="16"/>
  <c r="E661" i="16"/>
  <c r="I661" i="16"/>
  <c r="F661" i="16"/>
  <c r="D661" i="16"/>
  <c r="H661" i="16"/>
  <c r="D685" i="16"/>
  <c r="E685" i="16"/>
  <c r="J685" i="16"/>
  <c r="F685" i="16"/>
  <c r="F925" i="16"/>
  <c r="J925" i="16"/>
  <c r="E925" i="16"/>
  <c r="H925" i="16"/>
  <c r="I925" i="16"/>
  <c r="D925" i="16"/>
  <c r="G925" i="16"/>
  <c r="H1070" i="16"/>
  <c r="J1070" i="16"/>
  <c r="E1070" i="16"/>
  <c r="I1070" i="16"/>
  <c r="D1070" i="16"/>
  <c r="F1070" i="16"/>
  <c r="H1094" i="16"/>
  <c r="J1094" i="16"/>
  <c r="F1094" i="16"/>
  <c r="E1094" i="16"/>
  <c r="I1094" i="16"/>
  <c r="D1094" i="16"/>
  <c r="H1134" i="16"/>
  <c r="J1134" i="16"/>
  <c r="I1134" i="16"/>
  <c r="D1134" i="16"/>
  <c r="F1134" i="16"/>
  <c r="E1134" i="16"/>
  <c r="I1254" i="16"/>
  <c r="E1254" i="16"/>
  <c r="H1254" i="16"/>
  <c r="F1254" i="16"/>
  <c r="D1254" i="16"/>
  <c r="J1254" i="16"/>
  <c r="E941" i="16"/>
  <c r="J941" i="16"/>
  <c r="H941" i="16"/>
  <c r="I941" i="16"/>
  <c r="D941" i="16"/>
  <c r="F941" i="16"/>
  <c r="G941" i="16"/>
  <c r="U779" i="16"/>
  <c r="E349" i="16"/>
  <c r="H349" i="16"/>
  <c r="D349" i="16"/>
  <c r="F349" i="16"/>
  <c r="J349" i="16"/>
  <c r="I349" i="16"/>
  <c r="G381" i="16"/>
  <c r="I509" i="16"/>
  <c r="E509" i="16"/>
  <c r="D509" i="16"/>
  <c r="F509" i="16"/>
  <c r="H509" i="16"/>
  <c r="J509" i="16"/>
  <c r="G509" i="16"/>
  <c r="G629" i="16"/>
  <c r="G693" i="16"/>
  <c r="G717" i="16"/>
  <c r="G821" i="16"/>
  <c r="I861" i="16"/>
  <c r="F861" i="16"/>
  <c r="E861" i="16"/>
  <c r="G861" i="16"/>
  <c r="H861" i="16"/>
  <c r="J861" i="16"/>
  <c r="D861" i="16"/>
  <c r="D1046" i="16"/>
  <c r="J1046" i="16"/>
  <c r="E1046" i="16"/>
  <c r="H1046" i="16"/>
  <c r="I1046" i="16"/>
  <c r="F1046" i="16"/>
  <c r="J1206" i="16"/>
  <c r="I1206" i="16"/>
  <c r="F1206" i="16"/>
  <c r="E1206" i="16"/>
  <c r="H1206" i="16"/>
  <c r="D1206" i="16"/>
  <c r="G1262" i="16"/>
  <c r="U470" i="16"/>
  <c r="U1149" i="16"/>
  <c r="U826" i="16"/>
  <c r="U1131" i="16"/>
  <c r="U1230" i="16"/>
  <c r="U781" i="16"/>
  <c r="U511" i="16"/>
  <c r="U832" i="16"/>
  <c r="U667" i="16"/>
  <c r="U1281" i="16"/>
  <c r="U884" i="16"/>
  <c r="U551" i="16"/>
  <c r="U623" i="16"/>
  <c r="U356" i="16"/>
  <c r="U630" i="16"/>
  <c r="U913" i="16"/>
  <c r="U1017" i="16"/>
  <c r="U597" i="16"/>
  <c r="U272" i="16"/>
  <c r="U920" i="16"/>
  <c r="U1198" i="16"/>
  <c r="U1169" i="16"/>
  <c r="U558" i="16"/>
  <c r="U953" i="16"/>
  <c r="U1138" i="16"/>
  <c r="C40" i="10"/>
  <c r="U795" i="16"/>
  <c r="U940" i="16"/>
  <c r="U1154" i="16"/>
  <c r="U899" i="16"/>
  <c r="B64" i="4"/>
  <c r="A47" i="10" s="1"/>
  <c r="B46" i="4"/>
  <c r="A32" i="10" s="1"/>
  <c r="A27" i="10"/>
  <c r="B58" i="4"/>
  <c r="A42" i="10" s="1"/>
  <c r="U1119" i="16"/>
  <c r="B33" i="4"/>
  <c r="A21" i="10" s="1"/>
  <c r="B34" i="4"/>
  <c r="A22" i="10" s="1"/>
  <c r="U521" i="16"/>
  <c r="U740" i="16"/>
  <c r="U627" i="16"/>
  <c r="B44" i="4"/>
  <c r="A30" i="10" s="1"/>
  <c r="B56" i="4"/>
  <c r="A40" i="10" s="1"/>
  <c r="B50" i="4"/>
  <c r="A35" i="10" s="1"/>
  <c r="B35" i="4"/>
  <c r="A23" i="10" s="1"/>
  <c r="U869" i="16"/>
  <c r="A25" i="10"/>
  <c r="U892" i="16"/>
  <c r="U530" i="16"/>
  <c r="U1233" i="16"/>
  <c r="U317" i="16"/>
  <c r="U1186" i="16"/>
  <c r="U672" i="16"/>
  <c r="U311" i="16"/>
  <c r="U447" i="16"/>
  <c r="U690" i="16"/>
  <c r="F41" i="10"/>
  <c r="H41" i="10" s="1"/>
  <c r="F36" i="10"/>
  <c r="H36" i="10" s="1"/>
  <c r="F46" i="10"/>
  <c r="H46" i="10" s="1"/>
  <c r="F31" i="10"/>
  <c r="H31" i="10" s="1"/>
  <c r="H26" i="10"/>
  <c r="D1241" i="16"/>
  <c r="U1241" i="16" s="1"/>
  <c r="H354" i="16"/>
  <c r="F354" i="16"/>
  <c r="D354" i="16"/>
  <c r="G354" i="16"/>
  <c r="I354" i="16"/>
  <c r="E354" i="16"/>
  <c r="J354" i="16"/>
  <c r="C22" i="10"/>
  <c r="J1241" i="16"/>
  <c r="F50" i="10"/>
  <c r="H28" i="10"/>
  <c r="F33" i="10"/>
  <c r="H33" i="10" s="1"/>
  <c r="F48" i="10"/>
  <c r="H48" i="10" s="1"/>
  <c r="F38" i="10"/>
  <c r="H38" i="10" s="1"/>
  <c r="F43" i="10"/>
  <c r="H43" i="10" s="1"/>
  <c r="H950" i="16"/>
  <c r="I950" i="16"/>
  <c r="F950" i="16"/>
  <c r="G950" i="16"/>
  <c r="D950" i="16"/>
  <c r="J950" i="16"/>
  <c r="E950" i="16"/>
  <c r="D40" i="10"/>
  <c r="U1234" i="16"/>
  <c r="H1241" i="16"/>
  <c r="D1091" i="16"/>
  <c r="J1091" i="16"/>
  <c r="I1091" i="16"/>
  <c r="F1091" i="16"/>
  <c r="H1091" i="16"/>
  <c r="G1091" i="16"/>
  <c r="E1091" i="16"/>
  <c r="J1165" i="16"/>
  <c r="I1165" i="16"/>
  <c r="F1165" i="16"/>
  <c r="H1165" i="16"/>
  <c r="D1165" i="16"/>
  <c r="E1165" i="16"/>
  <c r="F37" i="10"/>
  <c r="H37" i="10" s="1"/>
  <c r="F42" i="10"/>
  <c r="H42" i="10" s="1"/>
  <c r="F47" i="10"/>
  <c r="H47" i="10" s="1"/>
  <c r="F32" i="10"/>
  <c r="H32" i="10" s="1"/>
  <c r="H27" i="10"/>
  <c r="C45" i="10"/>
  <c r="F1187" i="16"/>
  <c r="I1187" i="16"/>
  <c r="J1187" i="16"/>
  <c r="G1187" i="16"/>
  <c r="E1187" i="16"/>
  <c r="H1187" i="16"/>
  <c r="D1187" i="16"/>
  <c r="D822" i="16"/>
  <c r="I822" i="16"/>
  <c r="J822" i="16"/>
  <c r="E822" i="16"/>
  <c r="F822" i="16"/>
  <c r="H822" i="16"/>
  <c r="G822" i="16"/>
  <c r="U656" i="16"/>
  <c r="U579" i="16"/>
  <c r="U498" i="16"/>
  <c r="U859" i="16"/>
  <c r="E168" i="16"/>
  <c r="F433" i="16"/>
  <c r="D433" i="16"/>
  <c r="E433" i="16"/>
  <c r="G433" i="16"/>
  <c r="I433" i="16"/>
  <c r="J433" i="16"/>
  <c r="H433" i="16"/>
  <c r="J560" i="16"/>
  <c r="H560" i="16"/>
  <c r="E560" i="16"/>
  <c r="I560" i="16"/>
  <c r="F560" i="16"/>
  <c r="G560" i="16"/>
  <c r="D560" i="16"/>
  <c r="J531" i="16"/>
  <c r="D531" i="16"/>
  <c r="I531" i="16"/>
  <c r="E531" i="16"/>
  <c r="F531" i="16"/>
  <c r="H531" i="16"/>
  <c r="I1144" i="16"/>
  <c r="F1144" i="16"/>
  <c r="D1144" i="16"/>
  <c r="J1144" i="16"/>
  <c r="H1144" i="16"/>
  <c r="G1144" i="16"/>
  <c r="E1144" i="16"/>
  <c r="J835" i="16"/>
  <c r="G835" i="16"/>
  <c r="F835" i="16"/>
  <c r="I835" i="16"/>
  <c r="E835" i="16"/>
  <c r="D835" i="16"/>
  <c r="H835" i="16"/>
  <c r="H788" i="16"/>
  <c r="G788" i="16"/>
  <c r="J788" i="16"/>
  <c r="F788" i="16"/>
  <c r="E788" i="16"/>
  <c r="D788" i="16"/>
  <c r="I788" i="16"/>
  <c r="F1010" i="16"/>
  <c r="H1010" i="16"/>
  <c r="J1010" i="16"/>
  <c r="I1010" i="16"/>
  <c r="E1010" i="16"/>
  <c r="D1010" i="16"/>
  <c r="I980" i="16"/>
  <c r="J980" i="16"/>
  <c r="D980" i="16"/>
  <c r="H980" i="16"/>
  <c r="E980" i="16"/>
  <c r="F980" i="16"/>
  <c r="G980" i="16"/>
  <c r="D1181" i="16"/>
  <c r="I1181" i="16"/>
  <c r="H1181" i="16"/>
  <c r="F1181" i="16"/>
  <c r="E1181" i="16"/>
  <c r="J1181" i="16"/>
  <c r="H442" i="16"/>
  <c r="E442" i="16"/>
  <c r="I442" i="16"/>
  <c r="F442" i="16"/>
  <c r="J442" i="16"/>
  <c r="D442" i="16"/>
  <c r="G442" i="16"/>
  <c r="D978" i="16"/>
  <c r="F978" i="16"/>
  <c r="J978" i="16"/>
  <c r="H978" i="16"/>
  <c r="E978" i="16"/>
  <c r="I978" i="16"/>
  <c r="G978" i="16"/>
  <c r="G547" i="16"/>
  <c r="J547" i="16"/>
  <c r="I547" i="16"/>
  <c r="E547" i="16"/>
  <c r="D547" i="16"/>
  <c r="H547" i="16"/>
  <c r="F547" i="16"/>
  <c r="D502" i="16"/>
  <c r="I502" i="16"/>
  <c r="F502" i="16"/>
  <c r="J502" i="16"/>
  <c r="G502" i="16"/>
  <c r="E502" i="16"/>
  <c r="H502" i="16"/>
  <c r="G324" i="16"/>
  <c r="D324" i="16"/>
  <c r="F324" i="16"/>
  <c r="I324" i="16"/>
  <c r="E324" i="16"/>
  <c r="H324" i="16"/>
  <c r="J324" i="16"/>
  <c r="I554" i="16"/>
  <c r="H554" i="16"/>
  <c r="D554" i="16"/>
  <c r="G554" i="16"/>
  <c r="E554" i="16"/>
  <c r="J554" i="16"/>
  <c r="F554" i="16"/>
  <c r="J1197" i="16"/>
  <c r="F1197" i="16"/>
  <c r="E1197" i="16"/>
  <c r="H1197" i="16"/>
  <c r="G1197" i="16"/>
  <c r="D1197" i="16"/>
  <c r="I1197" i="16"/>
  <c r="D1108" i="16"/>
  <c r="H1108" i="16"/>
  <c r="E1108" i="16"/>
  <c r="J1108" i="16"/>
  <c r="I1108" i="16"/>
  <c r="G1108" i="16"/>
  <c r="F1108" i="16"/>
  <c r="I994" i="16"/>
  <c r="H994" i="16"/>
  <c r="J994" i="16"/>
  <c r="D994" i="16"/>
  <c r="F994" i="16"/>
  <c r="E994" i="16"/>
  <c r="U583" i="16"/>
  <c r="U862" i="16"/>
  <c r="U278" i="16"/>
  <c r="U1279" i="16"/>
  <c r="U827" i="16"/>
  <c r="U307" i="16"/>
  <c r="I645" i="16"/>
  <c r="F645" i="16"/>
  <c r="H645" i="16"/>
  <c r="E645" i="16"/>
  <c r="J645" i="16"/>
  <c r="G645" i="16"/>
  <c r="D645" i="16"/>
  <c r="I422" i="16"/>
  <c r="G422" i="16"/>
  <c r="J422" i="16"/>
  <c r="D422" i="16"/>
  <c r="E422" i="16"/>
  <c r="H422" i="16"/>
  <c r="F422" i="16"/>
  <c r="J675" i="16"/>
  <c r="H675" i="16"/>
  <c r="E675" i="16"/>
  <c r="F675" i="16"/>
  <c r="D675" i="16"/>
  <c r="I675" i="16"/>
  <c r="G675" i="16"/>
  <c r="I270" i="16"/>
  <c r="D270" i="16"/>
  <c r="J270" i="16"/>
  <c r="E270" i="16"/>
  <c r="H270" i="16"/>
  <c r="F270" i="16"/>
  <c r="G270" i="16"/>
  <c r="I414" i="16"/>
  <c r="G414" i="16"/>
  <c r="H414" i="16"/>
  <c r="D414" i="16"/>
  <c r="F414" i="16"/>
  <c r="J414" i="16"/>
  <c r="E414" i="16"/>
  <c r="J824" i="16"/>
  <c r="G824" i="16"/>
  <c r="H824" i="16"/>
  <c r="F824" i="16"/>
  <c r="E824" i="16"/>
  <c r="D824" i="16"/>
  <c r="I824" i="16"/>
  <c r="U687" i="16"/>
  <c r="F476" i="16"/>
  <c r="G476" i="16"/>
  <c r="J476" i="16"/>
  <c r="I476" i="16"/>
  <c r="D476" i="16"/>
  <c r="E476" i="16"/>
  <c r="H476" i="16"/>
  <c r="B77" i="4"/>
  <c r="A55" i="10" s="1"/>
  <c r="B81" i="4"/>
  <c r="A57" i="10" s="1"/>
  <c r="B69" i="4"/>
  <c r="A50" i="10" s="1"/>
  <c r="B83" i="4"/>
  <c r="A58" i="10" s="1"/>
  <c r="B75" i="4"/>
  <c r="A54" i="10" s="1"/>
  <c r="B87" i="4"/>
  <c r="A60" i="10" s="1"/>
  <c r="B61" i="4"/>
  <c r="A44" i="10" s="1"/>
  <c r="B43" i="4"/>
  <c r="A29" i="10" s="1"/>
  <c r="B73" i="4"/>
  <c r="A53" i="10" s="1"/>
  <c r="B85" i="4"/>
  <c r="A59" i="10" s="1"/>
  <c r="B71" i="4"/>
  <c r="A51" i="10" s="1"/>
  <c r="B55" i="4"/>
  <c r="A39" i="10" s="1"/>
  <c r="B49" i="4"/>
  <c r="A34" i="10" s="1"/>
  <c r="B79" i="4"/>
  <c r="A56" i="10" s="1"/>
  <c r="U942" i="16"/>
  <c r="U1113" i="16"/>
  <c r="U924" i="16"/>
  <c r="D1226" i="16"/>
  <c r="H1226" i="16"/>
  <c r="I1226" i="16"/>
  <c r="G1226" i="16"/>
  <c r="F1226" i="16"/>
  <c r="J1226" i="16"/>
  <c r="E1226" i="16"/>
  <c r="U972" i="16"/>
  <c r="I337" i="16"/>
  <c r="H337" i="16"/>
  <c r="D337" i="16"/>
  <c r="J337" i="16"/>
  <c r="E337" i="16"/>
  <c r="F337" i="16"/>
  <c r="Y207" i="16" l="1"/>
  <c r="Y223" i="16"/>
  <c r="Y159" i="16"/>
  <c r="Y96" i="16"/>
  <c r="Y32" i="16"/>
  <c r="Y239" i="16"/>
  <c r="Y175" i="16"/>
  <c r="Y112" i="16"/>
  <c r="Y48" i="16"/>
  <c r="Y255" i="16"/>
  <c r="Y191" i="16"/>
  <c r="Y128" i="16"/>
  <c r="Y64" i="16"/>
  <c r="S214" i="16"/>
  <c r="G214" i="16" s="1"/>
  <c r="Y199" i="16"/>
  <c r="Y135" i="16"/>
  <c r="Y72" i="16"/>
  <c r="Y8" i="16"/>
  <c r="Y231" i="16"/>
  <c r="Y167" i="16"/>
  <c r="Y104" i="16"/>
  <c r="Y40" i="16"/>
  <c r="S76" i="16"/>
  <c r="G76" i="16" s="1"/>
  <c r="Y247" i="16"/>
  <c r="Y183" i="16"/>
  <c r="Y120" i="16"/>
  <c r="Y56" i="16"/>
  <c r="S163" i="16"/>
  <c r="E163" i="16" s="1"/>
  <c r="Y215" i="16"/>
  <c r="Y151" i="16"/>
  <c r="Y88" i="16"/>
  <c r="Y24" i="16"/>
  <c r="S195" i="16"/>
  <c r="H195" i="16" s="1"/>
  <c r="S150" i="16"/>
  <c r="J150" i="16" s="1"/>
  <c r="G7" i="16"/>
  <c r="I71" i="16"/>
  <c r="D168" i="16"/>
  <c r="U168" i="16" s="1"/>
  <c r="H168" i="16"/>
  <c r="J168" i="16"/>
  <c r="F168" i="16"/>
  <c r="E71" i="16"/>
  <c r="I168" i="16"/>
  <c r="E190" i="16"/>
  <c r="S230" i="16"/>
  <c r="G230" i="16" s="1"/>
  <c r="I142" i="16"/>
  <c r="D130" i="16"/>
  <c r="J39" i="16"/>
  <c r="J130" i="16"/>
  <c r="F130" i="16"/>
  <c r="Y189" i="16"/>
  <c r="E130" i="16"/>
  <c r="H63" i="16"/>
  <c r="E63" i="16"/>
  <c r="H130" i="16"/>
  <c r="I130" i="16"/>
  <c r="D63" i="16"/>
  <c r="H206" i="16"/>
  <c r="S15" i="16"/>
  <c r="D15" i="16" s="1"/>
  <c r="Y141" i="16"/>
  <c r="I79" i="16"/>
  <c r="H79" i="16"/>
  <c r="Y78" i="16"/>
  <c r="F63" i="16"/>
  <c r="H39" i="16"/>
  <c r="E7" i="16"/>
  <c r="F71" i="16"/>
  <c r="H71" i="16"/>
  <c r="Y133" i="16"/>
  <c r="Y165" i="16"/>
  <c r="I160" i="16"/>
  <c r="F206" i="16"/>
  <c r="E142" i="16"/>
  <c r="J79" i="16"/>
  <c r="D142" i="16"/>
  <c r="F79" i="16"/>
  <c r="Y205" i="16"/>
  <c r="D79" i="16"/>
  <c r="F142" i="16"/>
  <c r="J206" i="16"/>
  <c r="J142" i="16"/>
  <c r="E79" i="16"/>
  <c r="I206" i="16"/>
  <c r="H238" i="16"/>
  <c r="J238" i="16"/>
  <c r="D238" i="16"/>
  <c r="Y237" i="16"/>
  <c r="Y173" i="16"/>
  <c r="Y46" i="16"/>
  <c r="E160" i="16"/>
  <c r="D95" i="16"/>
  <c r="H160" i="16"/>
  <c r="G160" i="16"/>
  <c r="D160" i="16"/>
  <c r="H87" i="16"/>
  <c r="J160" i="16"/>
  <c r="F87" i="16"/>
  <c r="S228" i="16"/>
  <c r="E228" i="16" s="1"/>
  <c r="I39" i="16"/>
  <c r="G39" i="16"/>
  <c r="E39" i="16"/>
  <c r="D39" i="16"/>
  <c r="H246" i="16"/>
  <c r="Y229" i="16"/>
  <c r="G103" i="16"/>
  <c r="I87" i="16"/>
  <c r="Y22" i="16"/>
  <c r="H158" i="16"/>
  <c r="D87" i="16"/>
  <c r="U87" i="16" s="1"/>
  <c r="J87" i="16"/>
  <c r="G87" i="16"/>
  <c r="Y213" i="16"/>
  <c r="S28" i="16"/>
  <c r="D206" i="16"/>
  <c r="F134" i="16"/>
  <c r="Y149" i="16"/>
  <c r="F7" i="16"/>
  <c r="H142" i="16"/>
  <c r="E206" i="16"/>
  <c r="J134" i="16"/>
  <c r="Y86" i="16"/>
  <c r="Y102" i="16"/>
  <c r="D190" i="16"/>
  <c r="I158" i="16"/>
  <c r="D134" i="16"/>
  <c r="D71" i="16"/>
  <c r="H7" i="16"/>
  <c r="F158" i="16"/>
  <c r="I134" i="16"/>
  <c r="E134" i="16"/>
  <c r="Y221" i="16"/>
  <c r="Y197" i="16"/>
  <c r="H95" i="16"/>
  <c r="Y157" i="16"/>
  <c r="F95" i="16"/>
  <c r="J71" i="16"/>
  <c r="I7" i="16"/>
  <c r="U910" i="16"/>
  <c r="E95" i="16"/>
  <c r="J7" i="16"/>
  <c r="H222" i="16"/>
  <c r="G134" i="16"/>
  <c r="Y70" i="16"/>
  <c r="J95" i="16"/>
  <c r="G158" i="16"/>
  <c r="J158" i="16"/>
  <c r="F222" i="16"/>
  <c r="Y30" i="16"/>
  <c r="Y6" i="16"/>
  <c r="J63" i="16"/>
  <c r="G190" i="16"/>
  <c r="E158" i="16"/>
  <c r="U158" i="16" s="1"/>
  <c r="J190" i="16"/>
  <c r="D222" i="16"/>
  <c r="I222" i="16"/>
  <c r="H190" i="16"/>
  <c r="I95" i="16"/>
  <c r="I63" i="16"/>
  <c r="I190" i="16"/>
  <c r="E222" i="16"/>
  <c r="Y94" i="16"/>
  <c r="Y126" i="16"/>
  <c r="J222" i="16"/>
  <c r="Y62" i="16"/>
  <c r="U1046" i="16"/>
  <c r="U606" i="16"/>
  <c r="Y244" i="16"/>
  <c r="Y180" i="16"/>
  <c r="Y117" i="16"/>
  <c r="Y53" i="16"/>
  <c r="Y248" i="16"/>
  <c r="U1262" i="16"/>
  <c r="Y182" i="16"/>
  <c r="Y55" i="16"/>
  <c r="S118" i="16"/>
  <c r="G118" i="16" s="1"/>
  <c r="Y251" i="16"/>
  <c r="Y124" i="16"/>
  <c r="S59" i="16"/>
  <c r="Y185" i="16"/>
  <c r="Y122" i="16"/>
  <c r="S57" i="16"/>
  <c r="G57" i="16" s="1"/>
  <c r="Y57" i="16"/>
  <c r="S247" i="16"/>
  <c r="S183" i="16"/>
  <c r="G183" i="16" s="1"/>
  <c r="S120" i="16"/>
  <c r="G120" i="16" s="1"/>
  <c r="S56" i="16"/>
  <c r="I246" i="16"/>
  <c r="S69" i="16"/>
  <c r="G69" i="16" s="1"/>
  <c r="Y118" i="16"/>
  <c r="G238" i="16"/>
  <c r="E238" i="16"/>
  <c r="F238" i="16"/>
  <c r="S174" i="16"/>
  <c r="G174" i="16" s="1"/>
  <c r="S111" i="16"/>
  <c r="G111" i="16" s="1"/>
  <c r="S47" i="16"/>
  <c r="G47" i="16" s="1"/>
  <c r="Y238" i="16"/>
  <c r="Y174" i="16"/>
  <c r="Y111" i="16"/>
  <c r="Y47" i="16"/>
  <c r="S237" i="16"/>
  <c r="S173" i="16"/>
  <c r="G173" i="16" s="1"/>
  <c r="S110" i="16"/>
  <c r="S46" i="16"/>
  <c r="G46" i="16" s="1"/>
  <c r="Y236" i="16"/>
  <c r="Y172" i="16"/>
  <c r="Y109" i="16"/>
  <c r="Y45" i="16"/>
  <c r="S243" i="16"/>
  <c r="G243" i="16" s="1"/>
  <c r="S179" i="16"/>
  <c r="G179" i="16" s="1"/>
  <c r="S116" i="16"/>
  <c r="G116" i="16" s="1"/>
  <c r="S52" i="16"/>
  <c r="G52" i="16" s="1"/>
  <c r="Y243" i="16"/>
  <c r="Y179" i="16"/>
  <c r="Y116" i="16"/>
  <c r="Y52" i="16"/>
  <c r="S242" i="16"/>
  <c r="S178" i="16"/>
  <c r="G178" i="16" s="1"/>
  <c r="S115" i="16"/>
  <c r="G115" i="16" s="1"/>
  <c r="S51" i="16"/>
  <c r="G51" i="16" s="1"/>
  <c r="Y242" i="16"/>
  <c r="Y178" i="16"/>
  <c r="Y115" i="16"/>
  <c r="Y51" i="16"/>
  <c r="S241" i="16"/>
  <c r="S177" i="16"/>
  <c r="G177" i="16" s="1"/>
  <c r="S114" i="16"/>
  <c r="G114" i="16" s="1"/>
  <c r="S50" i="16"/>
  <c r="Y241" i="16"/>
  <c r="Y177" i="16"/>
  <c r="Y114" i="16"/>
  <c r="Y50" i="16"/>
  <c r="S240" i="16"/>
  <c r="S176" i="16"/>
  <c r="G176" i="16" s="1"/>
  <c r="S113" i="16"/>
  <c r="G113" i="16" s="1"/>
  <c r="S49" i="16"/>
  <c r="G49" i="16" s="1"/>
  <c r="Y240" i="16"/>
  <c r="Y176" i="16"/>
  <c r="Y113" i="16"/>
  <c r="Y49" i="16"/>
  <c r="S239" i="16"/>
  <c r="G239" i="16" s="1"/>
  <c r="S175" i="16"/>
  <c r="S112" i="16"/>
  <c r="G112" i="16" s="1"/>
  <c r="S48" i="16"/>
  <c r="G48" i="16" s="1"/>
  <c r="Y119" i="16"/>
  <c r="S181" i="16"/>
  <c r="G181" i="16" s="1"/>
  <c r="Y187" i="16"/>
  <c r="Y60" i="16"/>
  <c r="S185" i="16"/>
  <c r="G185" i="16" s="1"/>
  <c r="U374" i="16"/>
  <c r="F182" i="16"/>
  <c r="Y54" i="16"/>
  <c r="S166" i="16"/>
  <c r="G166" i="16" s="1"/>
  <c r="J103" i="16"/>
  <c r="H103" i="16"/>
  <c r="I103" i="16"/>
  <c r="F103" i="16"/>
  <c r="D103" i="16"/>
  <c r="U103" i="16" s="1"/>
  <c r="Y230" i="16"/>
  <c r="Y166" i="16"/>
  <c r="Y103" i="16"/>
  <c r="Y39" i="16"/>
  <c r="S229" i="16"/>
  <c r="S165" i="16"/>
  <c r="S102" i="16"/>
  <c r="G102" i="16" s="1"/>
  <c r="S38" i="16"/>
  <c r="Y228" i="16"/>
  <c r="Y164" i="16"/>
  <c r="Y101" i="16"/>
  <c r="Y37" i="16"/>
  <c r="S235" i="16"/>
  <c r="G235" i="16" s="1"/>
  <c r="S171" i="16"/>
  <c r="G171" i="16" s="1"/>
  <c r="S108" i="16"/>
  <c r="G108" i="16" s="1"/>
  <c r="S44" i="16"/>
  <c r="G44" i="16" s="1"/>
  <c r="Y235" i="16"/>
  <c r="Y171" i="16"/>
  <c r="Y108" i="16"/>
  <c r="Y44" i="16"/>
  <c r="S234" i="16"/>
  <c r="G234" i="16" s="1"/>
  <c r="S170" i="16"/>
  <c r="G170" i="16" s="1"/>
  <c r="S107" i="16"/>
  <c r="S43" i="16"/>
  <c r="G43" i="16" s="1"/>
  <c r="Y234" i="16"/>
  <c r="Y170" i="16"/>
  <c r="Y107" i="16"/>
  <c r="Y43" i="16"/>
  <c r="S233" i="16"/>
  <c r="G233" i="16" s="1"/>
  <c r="S169" i="16"/>
  <c r="G169" i="16" s="1"/>
  <c r="S106" i="16"/>
  <c r="S42" i="16"/>
  <c r="G42" i="16" s="1"/>
  <c r="Y233" i="16"/>
  <c r="Y169" i="16"/>
  <c r="Y106" i="16"/>
  <c r="Y42" i="16"/>
  <c r="S232" i="16"/>
  <c r="G232" i="16" s="1"/>
  <c r="G105" i="16"/>
  <c r="I105" i="16"/>
  <c r="E105" i="16"/>
  <c r="F105" i="16"/>
  <c r="J105" i="16"/>
  <c r="D105" i="16"/>
  <c r="H105" i="16"/>
  <c r="S41" i="16"/>
  <c r="G41" i="16" s="1"/>
  <c r="Y232" i="16"/>
  <c r="Y168" i="16"/>
  <c r="Y105" i="16"/>
  <c r="Y41" i="16"/>
  <c r="S231" i="16"/>
  <c r="G231" i="16" s="1"/>
  <c r="S167" i="16"/>
  <c r="S104" i="16"/>
  <c r="G104" i="16" s="1"/>
  <c r="S40" i="16"/>
  <c r="G40" i="16" s="1"/>
  <c r="S132" i="16"/>
  <c r="G132" i="16" s="1"/>
  <c r="Y246" i="16"/>
  <c r="S251" i="16"/>
  <c r="G251" i="16" s="1"/>
  <c r="S124" i="16"/>
  <c r="G124" i="16" s="1"/>
  <c r="Y186" i="16"/>
  <c r="S249" i="16"/>
  <c r="Y249" i="16"/>
  <c r="Y121" i="16"/>
  <c r="S212" i="16"/>
  <c r="G212" i="16" s="1"/>
  <c r="S204" i="16"/>
  <c r="S252" i="16"/>
  <c r="G252" i="16" s="1"/>
  <c r="S244" i="16"/>
  <c r="G244" i="16" s="1"/>
  <c r="S236" i="16"/>
  <c r="S220" i="16"/>
  <c r="S31" i="16"/>
  <c r="G31" i="16" s="1"/>
  <c r="Y222" i="16"/>
  <c r="Y158" i="16"/>
  <c r="Y95" i="16"/>
  <c r="Y31" i="16"/>
  <c r="S221" i="16"/>
  <c r="G221" i="16" s="1"/>
  <c r="S157" i="16"/>
  <c r="S94" i="16"/>
  <c r="G94" i="16" s="1"/>
  <c r="S30" i="16"/>
  <c r="G30" i="16" s="1"/>
  <c r="Y220" i="16"/>
  <c r="Y156" i="16"/>
  <c r="Y93" i="16"/>
  <c r="Y29" i="16"/>
  <c r="S227" i="16"/>
  <c r="I163" i="16"/>
  <c r="H163" i="16"/>
  <c r="S100" i="16"/>
  <c r="G100" i="16" s="1"/>
  <c r="S36" i="16"/>
  <c r="G36" i="16" s="1"/>
  <c r="Y227" i="16"/>
  <c r="Y163" i="16"/>
  <c r="Y100" i="16"/>
  <c r="Y36" i="16"/>
  <c r="S226" i="16"/>
  <c r="S162" i="16"/>
  <c r="G162" i="16" s="1"/>
  <c r="S99" i="16"/>
  <c r="G99" i="16" s="1"/>
  <c r="S35" i="16"/>
  <c r="G35" i="16" s="1"/>
  <c r="Y226" i="16"/>
  <c r="Y162" i="16"/>
  <c r="Y99" i="16"/>
  <c r="Y35" i="16"/>
  <c r="S225" i="16"/>
  <c r="G225" i="16" s="1"/>
  <c r="S161" i="16"/>
  <c r="G161" i="16" s="1"/>
  <c r="S98" i="16"/>
  <c r="G98" i="16" s="1"/>
  <c r="S34" i="16"/>
  <c r="G34" i="16" s="1"/>
  <c r="Y225" i="16"/>
  <c r="Y161" i="16"/>
  <c r="Y98" i="16"/>
  <c r="Y34" i="16"/>
  <c r="S224" i="16"/>
  <c r="G224" i="16" s="1"/>
  <c r="S97" i="16"/>
  <c r="G97" i="16" s="1"/>
  <c r="S33" i="16"/>
  <c r="G33" i="16" s="1"/>
  <c r="Y224" i="16"/>
  <c r="Y160" i="16"/>
  <c r="Y97" i="16"/>
  <c r="Y33" i="16"/>
  <c r="S223" i="16"/>
  <c r="S159" i="16"/>
  <c r="G159" i="16" s="1"/>
  <c r="S96" i="16"/>
  <c r="G96" i="16" s="1"/>
  <c r="S32" i="16"/>
  <c r="G32" i="16" s="1"/>
  <c r="S55" i="16"/>
  <c r="G55" i="16" s="1"/>
  <c r="S186" i="16"/>
  <c r="G186" i="16" s="1"/>
  <c r="S58" i="16"/>
  <c r="S121" i="16"/>
  <c r="G121" i="16" s="1"/>
  <c r="I182" i="16"/>
  <c r="J182" i="16"/>
  <c r="D246" i="16"/>
  <c r="S148" i="16"/>
  <c r="G148" i="16" s="1"/>
  <c r="S140" i="16"/>
  <c r="G140" i="16" s="1"/>
  <c r="S188" i="16"/>
  <c r="G188" i="16" s="1"/>
  <c r="S180" i="16"/>
  <c r="G180" i="16" s="1"/>
  <c r="S172" i="16"/>
  <c r="G172" i="16" s="1"/>
  <c r="S164" i="16"/>
  <c r="G164" i="16" s="1"/>
  <c r="S156" i="16"/>
  <c r="G156" i="16" s="1"/>
  <c r="S23" i="16"/>
  <c r="G23" i="16" s="1"/>
  <c r="Y214" i="16"/>
  <c r="Y150" i="16"/>
  <c r="Y87" i="16"/>
  <c r="Y23" i="16"/>
  <c r="S213" i="16"/>
  <c r="S149" i="16"/>
  <c r="G149" i="16" s="1"/>
  <c r="S86" i="16"/>
  <c r="G86" i="16" s="1"/>
  <c r="S22" i="16"/>
  <c r="G22" i="16" s="1"/>
  <c r="Y212" i="16"/>
  <c r="Y148" i="16"/>
  <c r="Y85" i="16"/>
  <c r="Y21" i="16"/>
  <c r="S219" i="16"/>
  <c r="S155" i="16"/>
  <c r="G155" i="16" s="1"/>
  <c r="S92" i="16"/>
  <c r="Y219" i="16"/>
  <c r="Y155" i="16"/>
  <c r="Y92" i="16"/>
  <c r="Y28" i="16"/>
  <c r="S218" i="16"/>
  <c r="G218" i="16" s="1"/>
  <c r="S154" i="16"/>
  <c r="S91" i="16"/>
  <c r="G91" i="16" s="1"/>
  <c r="S27" i="16"/>
  <c r="G27" i="16" s="1"/>
  <c r="Y218" i="16"/>
  <c r="Y154" i="16"/>
  <c r="Y91" i="16"/>
  <c r="Y27" i="16"/>
  <c r="S217" i="16"/>
  <c r="G217" i="16" s="1"/>
  <c r="S153" i="16"/>
  <c r="G153" i="16" s="1"/>
  <c r="S90" i="16"/>
  <c r="S26" i="16"/>
  <c r="G26" i="16" s="1"/>
  <c r="Y217" i="16"/>
  <c r="Y153" i="16"/>
  <c r="Y90" i="16"/>
  <c r="Y26" i="16"/>
  <c r="S216" i="16"/>
  <c r="G216" i="16" s="1"/>
  <c r="S152" i="16"/>
  <c r="G152" i="16" s="1"/>
  <c r="S89" i="16"/>
  <c r="G89" i="16" s="1"/>
  <c r="S25" i="16"/>
  <c r="G25" i="16" s="1"/>
  <c r="Y216" i="16"/>
  <c r="Y152" i="16"/>
  <c r="Y89" i="16"/>
  <c r="Y25" i="16"/>
  <c r="S215" i="16"/>
  <c r="S151" i="16"/>
  <c r="G151" i="16" s="1"/>
  <c r="S88" i="16"/>
  <c r="G88" i="16" s="1"/>
  <c r="S24" i="16"/>
  <c r="G24" i="16" s="1"/>
  <c r="S245" i="16"/>
  <c r="S250" i="16"/>
  <c r="G250" i="16" s="1"/>
  <c r="S123" i="16"/>
  <c r="Y59" i="16"/>
  <c r="S122" i="16"/>
  <c r="G122" i="16" s="1"/>
  <c r="S248" i="16"/>
  <c r="Y184" i="16"/>
  <c r="D182" i="16"/>
  <c r="J246" i="16"/>
  <c r="S85" i="16"/>
  <c r="G85" i="16" s="1"/>
  <c r="S77" i="16"/>
  <c r="S125" i="16"/>
  <c r="G125" i="16" s="1"/>
  <c r="S117" i="16"/>
  <c r="G117" i="16" s="1"/>
  <c r="S109" i="16"/>
  <c r="G109" i="16" s="1"/>
  <c r="S101" i="16"/>
  <c r="G101" i="16" s="1"/>
  <c r="S93" i="16"/>
  <c r="G93" i="16" s="1"/>
  <c r="Y206" i="16"/>
  <c r="Y142" i="16"/>
  <c r="Y79" i="16"/>
  <c r="Y15" i="16"/>
  <c r="S205" i="16"/>
  <c r="G205" i="16" s="1"/>
  <c r="S141" i="16"/>
  <c r="G141" i="16" s="1"/>
  <c r="S78" i="16"/>
  <c r="G78" i="16" s="1"/>
  <c r="S14" i="16"/>
  <c r="G14" i="16" s="1"/>
  <c r="Y204" i="16"/>
  <c r="Y140" i="16"/>
  <c r="Y77" i="16"/>
  <c r="Y13" i="16"/>
  <c r="S211" i="16"/>
  <c r="G211" i="16" s="1"/>
  <c r="S147" i="16"/>
  <c r="S84" i="16"/>
  <c r="G84" i="16" s="1"/>
  <c r="S20" i="16"/>
  <c r="G20" i="16" s="1"/>
  <c r="Y211" i="16"/>
  <c r="Y147" i="16"/>
  <c r="Y84" i="16"/>
  <c r="Y20" i="16"/>
  <c r="S210" i="16"/>
  <c r="G210" i="16" s="1"/>
  <c r="S146" i="16"/>
  <c r="G146" i="16" s="1"/>
  <c r="S83" i="16"/>
  <c r="G83" i="16" s="1"/>
  <c r="S19" i="16"/>
  <c r="G19" i="16" s="1"/>
  <c r="Y210" i="16"/>
  <c r="Y146" i="16"/>
  <c r="Y83" i="16"/>
  <c r="Y19" i="16"/>
  <c r="S209" i="16"/>
  <c r="S145" i="16"/>
  <c r="S82" i="16"/>
  <c r="G82" i="16" s="1"/>
  <c r="S18" i="16"/>
  <c r="G18" i="16" s="1"/>
  <c r="Y209" i="16"/>
  <c r="Y145" i="16"/>
  <c r="Y82" i="16"/>
  <c r="Y18" i="16"/>
  <c r="S208" i="16"/>
  <c r="G208" i="16" s="1"/>
  <c r="S144" i="16"/>
  <c r="G144" i="16" s="1"/>
  <c r="S81" i="16"/>
  <c r="G81" i="16" s="1"/>
  <c r="S17" i="16"/>
  <c r="G17" i="16" s="1"/>
  <c r="Y208" i="16"/>
  <c r="Y144" i="16"/>
  <c r="Y81" i="16"/>
  <c r="Y17" i="16"/>
  <c r="S207" i="16"/>
  <c r="G207" i="16" s="1"/>
  <c r="S143" i="16"/>
  <c r="S80" i="16"/>
  <c r="G80" i="16" s="1"/>
  <c r="S16" i="16"/>
  <c r="G16" i="16" s="1"/>
  <c r="S119" i="16"/>
  <c r="S187" i="16"/>
  <c r="G187" i="16" s="1"/>
  <c r="S60" i="16"/>
  <c r="G60" i="16" s="1"/>
  <c r="Y250" i="16"/>
  <c r="Y123" i="16"/>
  <c r="Y58" i="16"/>
  <c r="S184" i="16"/>
  <c r="G184" i="16" s="1"/>
  <c r="H182" i="16"/>
  <c r="E246" i="16"/>
  <c r="S196" i="16"/>
  <c r="G196" i="16" s="1"/>
  <c r="S21" i="16"/>
  <c r="G21" i="16" s="1"/>
  <c r="S13" i="16"/>
  <c r="G13" i="16" s="1"/>
  <c r="S61" i="16"/>
  <c r="G61" i="16" s="1"/>
  <c r="S53" i="16"/>
  <c r="G53" i="16" s="1"/>
  <c r="S45" i="16"/>
  <c r="G45" i="16" s="1"/>
  <c r="S37" i="16"/>
  <c r="G37" i="16" s="1"/>
  <c r="S29" i="16"/>
  <c r="G29" i="16" s="1"/>
  <c r="S198" i="16"/>
  <c r="Y198" i="16"/>
  <c r="Y134" i="16"/>
  <c r="Y71" i="16"/>
  <c r="Y7" i="16"/>
  <c r="S197" i="16"/>
  <c r="S133" i="16"/>
  <c r="S70" i="16"/>
  <c r="G70" i="16" s="1"/>
  <c r="S6" i="16"/>
  <c r="G6" i="16" s="1"/>
  <c r="Y196" i="16"/>
  <c r="Y132" i="16"/>
  <c r="Y69" i="16"/>
  <c r="Y5" i="16"/>
  <c r="S203" i="16"/>
  <c r="S139" i="16"/>
  <c r="G139" i="16" s="1"/>
  <c r="S12" i="16"/>
  <c r="Y203" i="16"/>
  <c r="Y139" i="16"/>
  <c r="Y76" i="16"/>
  <c r="Y12" i="16"/>
  <c r="S202" i="16"/>
  <c r="G202" i="16" s="1"/>
  <c r="S138" i="16"/>
  <c r="S75" i="16"/>
  <c r="G75" i="16" s="1"/>
  <c r="S11" i="16"/>
  <c r="G11" i="16" s="1"/>
  <c r="Y202" i="16"/>
  <c r="Y138" i="16"/>
  <c r="Y75" i="16"/>
  <c r="Y11" i="16"/>
  <c r="S201" i="16"/>
  <c r="G201" i="16" s="1"/>
  <c r="S137" i="16"/>
  <c r="S74" i="16"/>
  <c r="G74" i="16" s="1"/>
  <c r="S10" i="16"/>
  <c r="G10" i="16" s="1"/>
  <c r="Y201" i="16"/>
  <c r="Y137" i="16"/>
  <c r="Y74" i="16"/>
  <c r="Y10" i="16"/>
  <c r="S200" i="16"/>
  <c r="G200" i="16" s="1"/>
  <c r="S136" i="16"/>
  <c r="G136" i="16" s="1"/>
  <c r="S73" i="16"/>
  <c r="G73" i="16" s="1"/>
  <c r="S9" i="16"/>
  <c r="G9" i="16" s="1"/>
  <c r="Y200" i="16"/>
  <c r="Y136" i="16"/>
  <c r="Y73" i="16"/>
  <c r="Y9" i="16"/>
  <c r="S199" i="16"/>
  <c r="S135" i="16"/>
  <c r="G135" i="16" s="1"/>
  <c r="S72" i="16"/>
  <c r="G72" i="16" s="1"/>
  <c r="S8" i="16"/>
  <c r="G8" i="16" s="1"/>
  <c r="S54" i="16"/>
  <c r="G54" i="16" s="1"/>
  <c r="E182" i="16"/>
  <c r="F246" i="16"/>
  <c r="S5" i="16"/>
  <c r="G5" i="16" s="1"/>
  <c r="Y245" i="16"/>
  <c r="S254" i="16"/>
  <c r="G254" i="16" s="1"/>
  <c r="S127" i="16"/>
  <c r="G127" i="16" s="1"/>
  <c r="Y254" i="16"/>
  <c r="Y190" i="16"/>
  <c r="Y127" i="16"/>
  <c r="Y63" i="16"/>
  <c r="S253" i="16"/>
  <c r="S189" i="16"/>
  <c r="G189" i="16" s="1"/>
  <c r="S126" i="16"/>
  <c r="G126" i="16" s="1"/>
  <c r="S62" i="16"/>
  <c r="G62" i="16" s="1"/>
  <c r="Y252" i="16"/>
  <c r="Y188" i="16"/>
  <c r="Y125" i="16"/>
  <c r="Y61" i="16"/>
  <c r="S259" i="16"/>
  <c r="G259" i="16" s="1"/>
  <c r="S68" i="16"/>
  <c r="G68" i="16" s="1"/>
  <c r="Y259" i="16"/>
  <c r="Y195" i="16"/>
  <c r="Y68" i="16"/>
  <c r="S258" i="16"/>
  <c r="G258" i="16" s="1"/>
  <c r="S194" i="16"/>
  <c r="G194" i="16" s="1"/>
  <c r="S131" i="16"/>
  <c r="S67" i="16"/>
  <c r="G67" i="16" s="1"/>
  <c r="Y258" i="16"/>
  <c r="Y194" i="16"/>
  <c r="Y131" i="16"/>
  <c r="Y67" i="16"/>
  <c r="G257" i="16"/>
  <c r="H257" i="16"/>
  <c r="E257" i="16"/>
  <c r="F257" i="16"/>
  <c r="J257" i="16"/>
  <c r="I257" i="16"/>
  <c r="D257" i="16"/>
  <c r="S193" i="16"/>
  <c r="G193" i="16" s="1"/>
  <c r="S66" i="16"/>
  <c r="G66" i="16" s="1"/>
  <c r="Y257" i="16"/>
  <c r="Y193" i="16"/>
  <c r="Y130" i="16"/>
  <c r="Y66" i="16"/>
  <c r="S256" i="16"/>
  <c r="G256" i="16" s="1"/>
  <c r="S192" i="16"/>
  <c r="G192" i="16" s="1"/>
  <c r="S129" i="16"/>
  <c r="S65" i="16"/>
  <c r="G65" i="16" s="1"/>
  <c r="Y256" i="16"/>
  <c r="Y192" i="16"/>
  <c r="Y129" i="16"/>
  <c r="Y65" i="16"/>
  <c r="S255" i="16"/>
  <c r="G255" i="16" s="1"/>
  <c r="S191" i="16"/>
  <c r="G191" i="16" s="1"/>
  <c r="S128" i="16"/>
  <c r="G128" i="16" s="1"/>
  <c r="S64" i="16"/>
  <c r="G64" i="16" s="1"/>
  <c r="U1239" i="16"/>
  <c r="U710" i="16"/>
  <c r="U582" i="16"/>
  <c r="U462" i="16"/>
  <c r="U798" i="16"/>
  <c r="U1023" i="16"/>
  <c r="U1199" i="16"/>
  <c r="U1063" i="16"/>
  <c r="U318" i="16"/>
  <c r="U870" i="16"/>
  <c r="U1143" i="16"/>
  <c r="U846" i="16"/>
  <c r="U382" i="16"/>
  <c r="U1079" i="16"/>
  <c r="U1135" i="16"/>
  <c r="U294" i="16"/>
  <c r="U638" i="16"/>
  <c r="U1047" i="16"/>
  <c r="U991" i="16"/>
  <c r="U758" i="16"/>
  <c r="U702" i="16"/>
  <c r="U734" i="16"/>
  <c r="U750" i="16"/>
  <c r="U1167" i="16"/>
  <c r="U1055" i="16"/>
  <c r="U1071" i="16"/>
  <c r="U838" i="16"/>
  <c r="U598" i="16"/>
  <c r="U654" i="16"/>
  <c r="U342" i="16"/>
  <c r="U526" i="16"/>
  <c r="U477" i="16"/>
  <c r="U983" i="16"/>
  <c r="U686" i="16"/>
  <c r="U478" i="16"/>
  <c r="U1031" i="16"/>
  <c r="U918" i="16"/>
  <c r="U1007" i="16"/>
  <c r="U510" i="16"/>
  <c r="U1015" i="16"/>
  <c r="U1014" i="16"/>
  <c r="U1054" i="16"/>
  <c r="U629" i="16"/>
  <c r="U1159" i="16"/>
  <c r="U310" i="16"/>
  <c r="U894" i="16"/>
  <c r="U830" i="16"/>
  <c r="U766" i="16"/>
  <c r="U1175" i="16"/>
  <c r="U486" i="16"/>
  <c r="U365" i="16"/>
  <c r="U1086" i="16"/>
  <c r="U1238" i="16"/>
  <c r="U1223" i="16"/>
  <c r="U1103" i="16"/>
  <c r="U614" i="16"/>
  <c r="U534" i="16"/>
  <c r="U302" i="16"/>
  <c r="U1183" i="16"/>
  <c r="U790" i="16"/>
  <c r="U1151" i="16"/>
  <c r="U999" i="16"/>
  <c r="U806" i="16"/>
  <c r="U494" i="16"/>
  <c r="U1215" i="16"/>
  <c r="U782" i="16"/>
  <c r="U406" i="16"/>
  <c r="U286" i="16"/>
  <c r="U350" i="16"/>
  <c r="U967" i="16"/>
  <c r="U893" i="16"/>
  <c r="U886" i="16"/>
  <c r="U718" i="16"/>
  <c r="U518" i="16"/>
  <c r="U622" i="16"/>
  <c r="U1271" i="16"/>
  <c r="U934" i="16"/>
  <c r="U373" i="16"/>
  <c r="U1280" i="16"/>
  <c r="U509" i="16"/>
  <c r="U958" i="16"/>
  <c r="U326" i="16"/>
  <c r="U975" i="16"/>
  <c r="U670" i="16"/>
  <c r="U902" i="16"/>
  <c r="U1255" i="16"/>
  <c r="U446" i="16"/>
  <c r="U390" i="16"/>
  <c r="U854" i="16"/>
  <c r="U926" i="16"/>
  <c r="U398" i="16"/>
  <c r="U726" i="16"/>
  <c r="U878" i="16"/>
  <c r="U1111" i="16"/>
  <c r="U678" i="16"/>
  <c r="U694" i="16"/>
  <c r="U1127" i="16"/>
  <c r="U454" i="16"/>
  <c r="U1247" i="16"/>
  <c r="U1263" i="16"/>
  <c r="U685" i="16"/>
  <c r="U661" i="16"/>
  <c r="U1062" i="16"/>
  <c r="U541" i="16"/>
  <c r="U900" i="16"/>
  <c r="U1150" i="16"/>
  <c r="U525" i="16"/>
  <c r="U853" i="16"/>
  <c r="U805" i="16"/>
  <c r="U677" i="16"/>
  <c r="U693" i="16"/>
  <c r="U949" i="16"/>
  <c r="U421" i="16"/>
  <c r="U1078" i="16"/>
  <c r="U717" i="16"/>
  <c r="U349" i="16"/>
  <c r="U1070" i="16"/>
  <c r="U621" i="16"/>
  <c r="U813" i="16"/>
  <c r="U749" i="16"/>
  <c r="U461" i="16"/>
  <c r="U845" i="16"/>
  <c r="U1134" i="16"/>
  <c r="U341" i="16"/>
  <c r="U7" i="16"/>
  <c r="U1038" i="16"/>
  <c r="U573" i="16"/>
  <c r="U1206" i="16"/>
  <c r="U1254" i="16"/>
  <c r="U925" i="16"/>
  <c r="U501" i="16"/>
  <c r="U1174" i="16"/>
  <c r="U901" i="16"/>
  <c r="U1102" i="16"/>
  <c r="U821" i="16"/>
  <c r="U1246" i="16"/>
  <c r="U1142" i="16"/>
  <c r="U1030" i="16"/>
  <c r="U1094" i="16"/>
  <c r="U381" i="16"/>
  <c r="U861" i="16"/>
  <c r="U1101" i="16"/>
  <c r="U998" i="16"/>
  <c r="U974" i="16"/>
  <c r="U309" i="16"/>
  <c r="U1278" i="16"/>
  <c r="U357" i="16"/>
  <c r="U773" i="16"/>
  <c r="U941" i="16"/>
  <c r="U493" i="16"/>
  <c r="H65" i="10"/>
  <c r="D65" i="10" s="1"/>
  <c r="H64" i="10"/>
  <c r="D64" i="10" s="1"/>
  <c r="G65" i="10"/>
  <c r="H63" i="10"/>
  <c r="D63" i="10" s="1"/>
  <c r="H62" i="10"/>
  <c r="D62" i="10" s="1"/>
  <c r="G64" i="10"/>
  <c r="G63" i="10"/>
  <c r="G62" i="10"/>
  <c r="F66" i="10"/>
  <c r="C66" i="10" s="1"/>
  <c r="U1165" i="16"/>
  <c r="U354" i="16"/>
  <c r="U1187" i="16"/>
  <c r="U1091" i="16"/>
  <c r="D41" i="10"/>
  <c r="C41" i="10"/>
  <c r="U822" i="16"/>
  <c r="D43" i="10"/>
  <c r="C43" i="10"/>
  <c r="D27" i="10"/>
  <c r="C27" i="10"/>
  <c r="D38" i="10"/>
  <c r="C38" i="10"/>
  <c r="D32" i="10"/>
  <c r="C32" i="10"/>
  <c r="D48" i="10"/>
  <c r="C48" i="10"/>
  <c r="D26" i="10"/>
  <c r="C26" i="10"/>
  <c r="D37" i="10"/>
  <c r="C37" i="10"/>
  <c r="D47" i="10"/>
  <c r="C47" i="10"/>
  <c r="U950" i="16"/>
  <c r="C33" i="10"/>
  <c r="D33" i="10"/>
  <c r="D31" i="10"/>
  <c r="C31" i="10"/>
  <c r="F64" i="10"/>
  <c r="F62" i="10"/>
  <c r="B2" i="10" s="1"/>
  <c r="F65" i="10"/>
  <c r="F54" i="10"/>
  <c r="H54" i="10" s="1"/>
  <c r="F51" i="10"/>
  <c r="F58" i="10"/>
  <c r="H58" i="10" s="1"/>
  <c r="F60" i="10"/>
  <c r="H60" i="10" s="1"/>
  <c r="H50" i="10"/>
  <c r="F55" i="10"/>
  <c r="H55" i="10" s="1"/>
  <c r="F59" i="10"/>
  <c r="H59" i="10" s="1"/>
  <c r="F53" i="10"/>
  <c r="H53" i="10" s="1"/>
  <c r="F56" i="10"/>
  <c r="H56" i="10" s="1"/>
  <c r="F63" i="10"/>
  <c r="F57" i="10"/>
  <c r="H57" i="10" s="1"/>
  <c r="D36" i="10"/>
  <c r="C36" i="10"/>
  <c r="D42" i="10"/>
  <c r="C42" i="10"/>
  <c r="D28" i="10"/>
  <c r="C28" i="10"/>
  <c r="C46" i="10"/>
  <c r="D46" i="10"/>
  <c r="U835" i="16"/>
  <c r="U1010" i="16"/>
  <c r="U433" i="16"/>
  <c r="U980" i="16"/>
  <c r="U531" i="16"/>
  <c r="U978" i="16"/>
  <c r="U442" i="16"/>
  <c r="U1144" i="16"/>
  <c r="U554" i="16"/>
  <c r="U788" i="16"/>
  <c r="U560" i="16"/>
  <c r="U547" i="16"/>
  <c r="U1108" i="16"/>
  <c r="U1197" i="16"/>
  <c r="U502" i="16"/>
  <c r="U324" i="16"/>
  <c r="U994" i="16"/>
  <c r="U1181" i="16"/>
  <c r="U270" i="16"/>
  <c r="U422" i="16"/>
  <c r="U824" i="16"/>
  <c r="U414" i="16"/>
  <c r="U476" i="16"/>
  <c r="U675" i="16"/>
  <c r="U645" i="16"/>
  <c r="U337" i="16"/>
  <c r="U1226" i="16"/>
  <c r="F195" i="16" l="1"/>
  <c r="J214" i="16"/>
  <c r="G163" i="16"/>
  <c r="J163" i="16"/>
  <c r="F163" i="16"/>
  <c r="D163" i="16"/>
  <c r="U134" i="16"/>
  <c r="F214" i="16"/>
  <c r="U71" i="16"/>
  <c r="H214" i="16"/>
  <c r="I214" i="16"/>
  <c r="E214" i="16"/>
  <c r="D214" i="16"/>
  <c r="J228" i="16"/>
  <c r="I228" i="16"/>
  <c r="F228" i="16"/>
  <c r="H228" i="16"/>
  <c r="G228" i="16"/>
  <c r="D228" i="16"/>
  <c r="U63" i="16"/>
  <c r="H76" i="16"/>
  <c r="D76" i="16"/>
  <c r="J76" i="16"/>
  <c r="E76" i="16"/>
  <c r="I76" i="16"/>
  <c r="F76" i="16"/>
  <c r="U79" i="16"/>
  <c r="I195" i="16"/>
  <c r="D195" i="16"/>
  <c r="E195" i="16"/>
  <c r="G195" i="16"/>
  <c r="J195" i="16"/>
  <c r="U238" i="16"/>
  <c r="U130" i="16"/>
  <c r="F150" i="16"/>
  <c r="D150" i="16"/>
  <c r="G150" i="16"/>
  <c r="I150" i="16"/>
  <c r="H150" i="16"/>
  <c r="E150" i="16"/>
  <c r="C63" i="10"/>
  <c r="U190" i="16"/>
  <c r="C64" i="10"/>
  <c r="E230" i="16"/>
  <c r="C62" i="10"/>
  <c r="H230" i="16"/>
  <c r="F230" i="16"/>
  <c r="I230" i="16"/>
  <c r="D230" i="16"/>
  <c r="J230" i="16"/>
  <c r="E15" i="16"/>
  <c r="U15" i="16" s="1"/>
  <c r="J15" i="16"/>
  <c r="G15" i="16"/>
  <c r="H15" i="16"/>
  <c r="I15" i="16"/>
  <c r="F15" i="16"/>
  <c r="U222" i="16"/>
  <c r="U160" i="16"/>
  <c r="U142" i="16"/>
  <c r="U39" i="16"/>
  <c r="U95" i="16"/>
  <c r="U206" i="16"/>
  <c r="I28" i="16"/>
  <c r="H28" i="16"/>
  <c r="F28" i="16"/>
  <c r="E28" i="16"/>
  <c r="D28" i="16"/>
  <c r="J28" i="16"/>
  <c r="G28" i="16"/>
  <c r="U182" i="16"/>
  <c r="U246" i="16"/>
  <c r="U163" i="16"/>
  <c r="U105" i="16"/>
  <c r="J137" i="16"/>
  <c r="I137" i="16"/>
  <c r="H137" i="16"/>
  <c r="F137" i="16"/>
  <c r="D137" i="16"/>
  <c r="E137" i="16"/>
  <c r="I12" i="16"/>
  <c r="J12" i="16"/>
  <c r="H12" i="16"/>
  <c r="E12" i="16"/>
  <c r="D12" i="16"/>
  <c r="F12" i="16"/>
  <c r="I154" i="16"/>
  <c r="F154" i="16"/>
  <c r="H154" i="16"/>
  <c r="D154" i="16"/>
  <c r="J154" i="16"/>
  <c r="E154" i="16"/>
  <c r="E191" i="16"/>
  <c r="I191" i="16"/>
  <c r="D191" i="16"/>
  <c r="H191" i="16"/>
  <c r="F191" i="16"/>
  <c r="J191" i="16"/>
  <c r="H138" i="16"/>
  <c r="J138" i="16"/>
  <c r="D138" i="16"/>
  <c r="E138" i="16"/>
  <c r="I138" i="16"/>
  <c r="F138" i="16"/>
  <c r="D203" i="16"/>
  <c r="H203" i="16"/>
  <c r="I203" i="16"/>
  <c r="E203" i="16"/>
  <c r="F203" i="16"/>
  <c r="J203" i="16"/>
  <c r="E198" i="16"/>
  <c r="J198" i="16"/>
  <c r="H198" i="16"/>
  <c r="D198" i="16"/>
  <c r="F198" i="16"/>
  <c r="I198" i="16"/>
  <c r="F196" i="16"/>
  <c r="E196" i="16"/>
  <c r="H196" i="16"/>
  <c r="J196" i="16"/>
  <c r="I196" i="16"/>
  <c r="D196" i="16"/>
  <c r="F119" i="16"/>
  <c r="J119" i="16"/>
  <c r="I119" i="16"/>
  <c r="E119" i="16"/>
  <c r="D119" i="16"/>
  <c r="H119" i="16"/>
  <c r="H145" i="16"/>
  <c r="F145" i="16"/>
  <c r="E145" i="16"/>
  <c r="D145" i="16"/>
  <c r="I145" i="16"/>
  <c r="J145" i="16"/>
  <c r="I19" i="16"/>
  <c r="J19" i="16"/>
  <c r="H19" i="16"/>
  <c r="E19" i="16"/>
  <c r="F19" i="16"/>
  <c r="D19" i="16"/>
  <c r="F20" i="16"/>
  <c r="E20" i="16"/>
  <c r="I20" i="16"/>
  <c r="H20" i="16"/>
  <c r="J20" i="16"/>
  <c r="D20" i="16"/>
  <c r="D211" i="16"/>
  <c r="H211" i="16"/>
  <c r="F211" i="16"/>
  <c r="E211" i="16"/>
  <c r="I211" i="16"/>
  <c r="J211" i="16"/>
  <c r="J90" i="16"/>
  <c r="F90" i="16"/>
  <c r="D90" i="16"/>
  <c r="I90" i="16"/>
  <c r="H90" i="16"/>
  <c r="E90" i="16"/>
  <c r="G219" i="16"/>
  <c r="D219" i="16"/>
  <c r="I219" i="16"/>
  <c r="J219" i="16"/>
  <c r="E219" i="16"/>
  <c r="F219" i="16"/>
  <c r="H219" i="16"/>
  <c r="H213" i="16"/>
  <c r="I213" i="16"/>
  <c r="F213" i="16"/>
  <c r="D213" i="16"/>
  <c r="E213" i="16"/>
  <c r="J213" i="16"/>
  <c r="E223" i="16"/>
  <c r="F223" i="16"/>
  <c r="H223" i="16"/>
  <c r="I223" i="16"/>
  <c r="J223" i="16"/>
  <c r="G223" i="16"/>
  <c r="D223" i="16"/>
  <c r="H227" i="16"/>
  <c r="D227" i="16"/>
  <c r="J227" i="16"/>
  <c r="I227" i="16"/>
  <c r="F227" i="16"/>
  <c r="E227" i="16"/>
  <c r="E204" i="16"/>
  <c r="D204" i="16"/>
  <c r="J204" i="16"/>
  <c r="H204" i="16"/>
  <c r="I204" i="16"/>
  <c r="F204" i="16"/>
  <c r="E249" i="16"/>
  <c r="J249" i="16"/>
  <c r="D249" i="16"/>
  <c r="I249" i="16"/>
  <c r="H249" i="16"/>
  <c r="F249" i="16"/>
  <c r="F106" i="16"/>
  <c r="I106" i="16"/>
  <c r="E106" i="16"/>
  <c r="D106" i="16"/>
  <c r="H106" i="16"/>
  <c r="J106" i="16"/>
  <c r="H107" i="16"/>
  <c r="D107" i="16"/>
  <c r="E107" i="16"/>
  <c r="F107" i="16"/>
  <c r="I107" i="16"/>
  <c r="J107" i="16"/>
  <c r="I175" i="16"/>
  <c r="J175" i="16"/>
  <c r="D175" i="16"/>
  <c r="E175" i="16"/>
  <c r="F175" i="16"/>
  <c r="H175" i="16"/>
  <c r="F50" i="16"/>
  <c r="I50" i="16"/>
  <c r="H50" i="16"/>
  <c r="J50" i="16"/>
  <c r="D50" i="16"/>
  <c r="E50" i="16"/>
  <c r="H241" i="16"/>
  <c r="D241" i="16"/>
  <c r="I241" i="16"/>
  <c r="J241" i="16"/>
  <c r="E241" i="16"/>
  <c r="F241" i="16"/>
  <c r="D237" i="16"/>
  <c r="F237" i="16"/>
  <c r="G237" i="16"/>
  <c r="I237" i="16"/>
  <c r="E237" i="16"/>
  <c r="H237" i="16"/>
  <c r="J237" i="16"/>
  <c r="H56" i="16"/>
  <c r="E56" i="16"/>
  <c r="I56" i="16"/>
  <c r="D56" i="16"/>
  <c r="J56" i="16"/>
  <c r="F56" i="16"/>
  <c r="D247" i="16"/>
  <c r="H247" i="16"/>
  <c r="F247" i="16"/>
  <c r="I247" i="16"/>
  <c r="E247" i="16"/>
  <c r="J247" i="16"/>
  <c r="E59" i="16"/>
  <c r="H59" i="16"/>
  <c r="I59" i="16"/>
  <c r="D59" i="16"/>
  <c r="F59" i="16"/>
  <c r="J59" i="16"/>
  <c r="E143" i="16"/>
  <c r="H143" i="16"/>
  <c r="D143" i="16"/>
  <c r="J143" i="16"/>
  <c r="F143" i="16"/>
  <c r="I143" i="16"/>
  <c r="E77" i="16"/>
  <c r="I77" i="16"/>
  <c r="H77" i="16"/>
  <c r="D77" i="16"/>
  <c r="F77" i="16"/>
  <c r="J77" i="16"/>
  <c r="J192" i="16"/>
  <c r="F192" i="16"/>
  <c r="D192" i="16"/>
  <c r="I192" i="16"/>
  <c r="E192" i="16"/>
  <c r="H192" i="16"/>
  <c r="E126" i="16"/>
  <c r="H126" i="16"/>
  <c r="D126" i="16"/>
  <c r="J126" i="16"/>
  <c r="I126" i="16"/>
  <c r="F126" i="16"/>
  <c r="D8" i="16"/>
  <c r="F8" i="16"/>
  <c r="H8" i="16"/>
  <c r="I8" i="16"/>
  <c r="E8" i="16"/>
  <c r="J8" i="16"/>
  <c r="J68" i="16"/>
  <c r="F68" i="16"/>
  <c r="H68" i="16"/>
  <c r="I68" i="16"/>
  <c r="E68" i="16"/>
  <c r="D68" i="16"/>
  <c r="D127" i="16"/>
  <c r="I127" i="16"/>
  <c r="E127" i="16"/>
  <c r="H127" i="16"/>
  <c r="J127" i="16"/>
  <c r="F127" i="16"/>
  <c r="D73" i="16"/>
  <c r="E73" i="16"/>
  <c r="F73" i="16"/>
  <c r="J73" i="16"/>
  <c r="I73" i="16"/>
  <c r="H73" i="16"/>
  <c r="G137" i="16"/>
  <c r="G12" i="16"/>
  <c r="H70" i="16"/>
  <c r="E70" i="16"/>
  <c r="J70" i="16"/>
  <c r="D70" i="16"/>
  <c r="F70" i="16"/>
  <c r="I70" i="16"/>
  <c r="G198" i="16"/>
  <c r="I45" i="16"/>
  <c r="E45" i="16"/>
  <c r="H45" i="16"/>
  <c r="D45" i="16"/>
  <c r="J45" i="16"/>
  <c r="F45" i="16"/>
  <c r="G119" i="16"/>
  <c r="G143" i="16"/>
  <c r="I210" i="16"/>
  <c r="D210" i="16"/>
  <c r="H210" i="16"/>
  <c r="F210" i="16"/>
  <c r="E210" i="16"/>
  <c r="J210" i="16"/>
  <c r="F78" i="16"/>
  <c r="I78" i="16"/>
  <c r="H78" i="16"/>
  <c r="J78" i="16"/>
  <c r="D78" i="16"/>
  <c r="E78" i="16"/>
  <c r="I109" i="16"/>
  <c r="D109" i="16"/>
  <c r="E109" i="16"/>
  <c r="H109" i="16"/>
  <c r="F109" i="16"/>
  <c r="J109" i="16"/>
  <c r="G77" i="16"/>
  <c r="G123" i="16"/>
  <c r="D123" i="16"/>
  <c r="H123" i="16"/>
  <c r="E123" i="16"/>
  <c r="I123" i="16"/>
  <c r="J123" i="16"/>
  <c r="F123" i="16"/>
  <c r="D24" i="16"/>
  <c r="J24" i="16"/>
  <c r="E24" i="16"/>
  <c r="H24" i="16"/>
  <c r="F24" i="16"/>
  <c r="I24" i="16"/>
  <c r="E89" i="16"/>
  <c r="I89" i="16"/>
  <c r="D89" i="16"/>
  <c r="J89" i="16"/>
  <c r="F89" i="16"/>
  <c r="H89" i="16"/>
  <c r="G154" i="16"/>
  <c r="I156" i="16"/>
  <c r="E156" i="16"/>
  <c r="J156" i="16"/>
  <c r="H156" i="16"/>
  <c r="D156" i="16"/>
  <c r="F156" i="16"/>
  <c r="D180" i="16"/>
  <c r="E180" i="16"/>
  <c r="F180" i="16"/>
  <c r="I180" i="16"/>
  <c r="J180" i="16"/>
  <c r="H180" i="16"/>
  <c r="F148" i="16"/>
  <c r="J148" i="16"/>
  <c r="I148" i="16"/>
  <c r="D148" i="16"/>
  <c r="H148" i="16"/>
  <c r="E148" i="16"/>
  <c r="G58" i="16"/>
  <c r="E58" i="16"/>
  <c r="H58" i="16"/>
  <c r="I58" i="16"/>
  <c r="J58" i="16"/>
  <c r="F58" i="16"/>
  <c r="D58" i="16"/>
  <c r="F32" i="16"/>
  <c r="I32" i="16"/>
  <c r="E32" i="16"/>
  <c r="D32" i="16"/>
  <c r="H32" i="16"/>
  <c r="J32" i="16"/>
  <c r="D104" i="16"/>
  <c r="J104" i="16"/>
  <c r="I104" i="16"/>
  <c r="H104" i="16"/>
  <c r="E104" i="16"/>
  <c r="F104" i="16"/>
  <c r="I185" i="16"/>
  <c r="D185" i="16"/>
  <c r="E185" i="16"/>
  <c r="H185" i="16"/>
  <c r="J185" i="16"/>
  <c r="F185" i="16"/>
  <c r="D49" i="16"/>
  <c r="F49" i="16"/>
  <c r="J49" i="16"/>
  <c r="E49" i="16"/>
  <c r="H49" i="16"/>
  <c r="I49" i="16"/>
  <c r="G240" i="16"/>
  <c r="I240" i="16"/>
  <c r="H240" i="16"/>
  <c r="E240" i="16"/>
  <c r="D240" i="16"/>
  <c r="J240" i="16"/>
  <c r="F240" i="16"/>
  <c r="D115" i="16"/>
  <c r="I115" i="16"/>
  <c r="F115" i="16"/>
  <c r="H115" i="16"/>
  <c r="E115" i="16"/>
  <c r="J115" i="16"/>
  <c r="E179" i="16"/>
  <c r="F179" i="16"/>
  <c r="J179" i="16"/>
  <c r="I179" i="16"/>
  <c r="D179" i="16"/>
  <c r="H179" i="16"/>
  <c r="D111" i="16"/>
  <c r="J111" i="16"/>
  <c r="H111" i="16"/>
  <c r="F111" i="16"/>
  <c r="E111" i="16"/>
  <c r="I111" i="16"/>
  <c r="E64" i="16"/>
  <c r="D64" i="16"/>
  <c r="F64" i="16"/>
  <c r="J64" i="16"/>
  <c r="I64" i="16"/>
  <c r="H64" i="16"/>
  <c r="D133" i="16"/>
  <c r="J133" i="16"/>
  <c r="H133" i="16"/>
  <c r="E133" i="16"/>
  <c r="F133" i="16"/>
  <c r="G133" i="16"/>
  <c r="I133" i="16"/>
  <c r="J13" i="16"/>
  <c r="F13" i="16"/>
  <c r="I13" i="16"/>
  <c r="E13" i="16"/>
  <c r="D13" i="16"/>
  <c r="H13" i="16"/>
  <c r="F97" i="16"/>
  <c r="E97" i="16"/>
  <c r="J97" i="16"/>
  <c r="H97" i="16"/>
  <c r="D97" i="16"/>
  <c r="I97" i="16"/>
  <c r="J255" i="16"/>
  <c r="D255" i="16"/>
  <c r="E255" i="16"/>
  <c r="I255" i="16"/>
  <c r="H255" i="16"/>
  <c r="F255" i="16"/>
  <c r="F256" i="16"/>
  <c r="D256" i="16"/>
  <c r="J256" i="16"/>
  <c r="I256" i="16"/>
  <c r="E256" i="16"/>
  <c r="H256" i="16"/>
  <c r="F189" i="16"/>
  <c r="J189" i="16"/>
  <c r="H189" i="16"/>
  <c r="E189" i="16"/>
  <c r="I189" i="16"/>
  <c r="D189" i="16"/>
  <c r="E136" i="16"/>
  <c r="H136" i="16"/>
  <c r="F136" i="16"/>
  <c r="I136" i="16"/>
  <c r="J136" i="16"/>
  <c r="D136" i="16"/>
  <c r="F11" i="16"/>
  <c r="D11" i="16"/>
  <c r="J11" i="16"/>
  <c r="I11" i="16"/>
  <c r="H11" i="16"/>
  <c r="E11" i="16"/>
  <c r="D202" i="16"/>
  <c r="I202" i="16"/>
  <c r="F202" i="16"/>
  <c r="H202" i="16"/>
  <c r="E202" i="16"/>
  <c r="J202" i="16"/>
  <c r="G197" i="16"/>
  <c r="I197" i="16"/>
  <c r="F197" i="16"/>
  <c r="E197" i="16"/>
  <c r="J197" i="16"/>
  <c r="D197" i="16"/>
  <c r="H197" i="16"/>
  <c r="J83" i="16"/>
  <c r="E83" i="16"/>
  <c r="F83" i="16"/>
  <c r="D83" i="16"/>
  <c r="H83" i="16"/>
  <c r="I83" i="16"/>
  <c r="J84" i="16"/>
  <c r="F84" i="16"/>
  <c r="I84" i="16"/>
  <c r="E84" i="16"/>
  <c r="D84" i="16"/>
  <c r="H84" i="16"/>
  <c r="F141" i="16"/>
  <c r="E141" i="16"/>
  <c r="I141" i="16"/>
  <c r="H141" i="16"/>
  <c r="J141" i="16"/>
  <c r="D141" i="16"/>
  <c r="G248" i="16"/>
  <c r="I248" i="16"/>
  <c r="J248" i="16"/>
  <c r="F248" i="16"/>
  <c r="E248" i="16"/>
  <c r="D248" i="16"/>
  <c r="H248" i="16"/>
  <c r="F88" i="16"/>
  <c r="I88" i="16"/>
  <c r="E88" i="16"/>
  <c r="J88" i="16"/>
  <c r="D88" i="16"/>
  <c r="H88" i="16"/>
  <c r="E152" i="16"/>
  <c r="F152" i="16"/>
  <c r="H152" i="16"/>
  <c r="D152" i="16"/>
  <c r="I152" i="16"/>
  <c r="J152" i="16"/>
  <c r="G92" i="16"/>
  <c r="H92" i="16"/>
  <c r="J92" i="16"/>
  <c r="E92" i="16"/>
  <c r="I92" i="16"/>
  <c r="F92" i="16"/>
  <c r="D92" i="16"/>
  <c r="D186" i="16"/>
  <c r="F186" i="16"/>
  <c r="E186" i="16"/>
  <c r="I186" i="16"/>
  <c r="H186" i="16"/>
  <c r="J186" i="16"/>
  <c r="F157" i="16"/>
  <c r="J157" i="16"/>
  <c r="I157" i="16"/>
  <c r="H157" i="16"/>
  <c r="G157" i="16"/>
  <c r="E157" i="16"/>
  <c r="D157" i="16"/>
  <c r="F212" i="16"/>
  <c r="I212" i="16"/>
  <c r="H212" i="16"/>
  <c r="E212" i="16"/>
  <c r="J212" i="16"/>
  <c r="D212" i="16"/>
  <c r="E132" i="16"/>
  <c r="H132" i="16"/>
  <c r="I132" i="16"/>
  <c r="J132" i="16"/>
  <c r="D132" i="16"/>
  <c r="F132" i="16"/>
  <c r="J169" i="16"/>
  <c r="I169" i="16"/>
  <c r="E169" i="16"/>
  <c r="D169" i="16"/>
  <c r="F169" i="16"/>
  <c r="H169" i="16"/>
  <c r="J170" i="16"/>
  <c r="H170" i="16"/>
  <c r="E170" i="16"/>
  <c r="F170" i="16"/>
  <c r="I170" i="16"/>
  <c r="D170" i="16"/>
  <c r="I114" i="16"/>
  <c r="E114" i="16"/>
  <c r="H114" i="16"/>
  <c r="J114" i="16"/>
  <c r="F114" i="16"/>
  <c r="D114" i="16"/>
  <c r="I46" i="16"/>
  <c r="J46" i="16"/>
  <c r="H46" i="16"/>
  <c r="D46" i="16"/>
  <c r="E46" i="16"/>
  <c r="F46" i="16"/>
  <c r="H69" i="16"/>
  <c r="J69" i="16"/>
  <c r="F69" i="16"/>
  <c r="E69" i="16"/>
  <c r="D69" i="16"/>
  <c r="I69" i="16"/>
  <c r="I120" i="16"/>
  <c r="J120" i="16"/>
  <c r="E120" i="16"/>
  <c r="F120" i="16"/>
  <c r="D120" i="16"/>
  <c r="H120" i="16"/>
  <c r="D57" i="16"/>
  <c r="I57" i="16"/>
  <c r="J57" i="16"/>
  <c r="H57" i="16"/>
  <c r="E57" i="16"/>
  <c r="F57" i="16"/>
  <c r="I258" i="16"/>
  <c r="H258" i="16"/>
  <c r="D258" i="16"/>
  <c r="F258" i="16"/>
  <c r="J258" i="16"/>
  <c r="E258" i="16"/>
  <c r="F72" i="16"/>
  <c r="E72" i="16"/>
  <c r="H72" i="16"/>
  <c r="I72" i="16"/>
  <c r="D72" i="16"/>
  <c r="J72" i="16"/>
  <c r="F86" i="16"/>
  <c r="I86" i="16"/>
  <c r="J86" i="16"/>
  <c r="E86" i="16"/>
  <c r="D86" i="16"/>
  <c r="H86" i="16"/>
  <c r="H162" i="16"/>
  <c r="D162" i="16"/>
  <c r="J162" i="16"/>
  <c r="F162" i="16"/>
  <c r="I162" i="16"/>
  <c r="E162" i="16"/>
  <c r="I244" i="16"/>
  <c r="E244" i="16"/>
  <c r="D244" i="16"/>
  <c r="H244" i="16"/>
  <c r="J244" i="16"/>
  <c r="F244" i="16"/>
  <c r="D38" i="16"/>
  <c r="I38" i="16"/>
  <c r="G38" i="16"/>
  <c r="H38" i="16"/>
  <c r="E38" i="16"/>
  <c r="F38" i="16"/>
  <c r="J38" i="16"/>
  <c r="F166" i="16"/>
  <c r="E166" i="16"/>
  <c r="J166" i="16"/>
  <c r="D166" i="16"/>
  <c r="I166" i="16"/>
  <c r="H166" i="16"/>
  <c r="H129" i="16"/>
  <c r="I129" i="16"/>
  <c r="F129" i="16"/>
  <c r="J129" i="16"/>
  <c r="E129" i="16"/>
  <c r="D129" i="16"/>
  <c r="G131" i="16"/>
  <c r="D131" i="16"/>
  <c r="J131" i="16"/>
  <c r="F131" i="16"/>
  <c r="I131" i="16"/>
  <c r="E131" i="16"/>
  <c r="H131" i="16"/>
  <c r="H253" i="16"/>
  <c r="F253" i="16"/>
  <c r="E253" i="16"/>
  <c r="D253" i="16"/>
  <c r="G253" i="16"/>
  <c r="J253" i="16"/>
  <c r="I253" i="16"/>
  <c r="E254" i="16"/>
  <c r="J254" i="16"/>
  <c r="F254" i="16"/>
  <c r="D254" i="16"/>
  <c r="I254" i="16"/>
  <c r="H254" i="16"/>
  <c r="E29" i="16"/>
  <c r="J29" i="16"/>
  <c r="H29" i="16"/>
  <c r="F29" i="16"/>
  <c r="I29" i="16"/>
  <c r="D29" i="16"/>
  <c r="J53" i="16"/>
  <c r="E53" i="16"/>
  <c r="H53" i="16"/>
  <c r="D53" i="16"/>
  <c r="F53" i="16"/>
  <c r="I53" i="16"/>
  <c r="E60" i="16"/>
  <c r="F60" i="16"/>
  <c r="D60" i="16"/>
  <c r="I60" i="16"/>
  <c r="H60" i="16"/>
  <c r="J60" i="16"/>
  <c r="E16" i="16"/>
  <c r="D16" i="16"/>
  <c r="H16" i="16"/>
  <c r="I16" i="16"/>
  <c r="F16" i="16"/>
  <c r="J16" i="16"/>
  <c r="E17" i="16"/>
  <c r="I17" i="16"/>
  <c r="D17" i="16"/>
  <c r="F17" i="16"/>
  <c r="J17" i="16"/>
  <c r="H17" i="16"/>
  <c r="I18" i="16"/>
  <c r="J18" i="16"/>
  <c r="F18" i="16"/>
  <c r="E18" i="16"/>
  <c r="H18" i="16"/>
  <c r="D18" i="16"/>
  <c r="J93" i="16"/>
  <c r="H93" i="16"/>
  <c r="F93" i="16"/>
  <c r="D93" i="16"/>
  <c r="E93" i="16"/>
  <c r="I93" i="16"/>
  <c r="I117" i="16"/>
  <c r="J117" i="16"/>
  <c r="D117" i="16"/>
  <c r="F117" i="16"/>
  <c r="E117" i="16"/>
  <c r="H117" i="16"/>
  <c r="F250" i="16"/>
  <c r="E250" i="16"/>
  <c r="J250" i="16"/>
  <c r="I250" i="16"/>
  <c r="H250" i="16"/>
  <c r="D250" i="16"/>
  <c r="D27" i="16"/>
  <c r="I27" i="16"/>
  <c r="F27" i="16"/>
  <c r="E27" i="16"/>
  <c r="J27" i="16"/>
  <c r="H27" i="16"/>
  <c r="J164" i="16"/>
  <c r="H164" i="16"/>
  <c r="E164" i="16"/>
  <c r="I164" i="16"/>
  <c r="D164" i="16"/>
  <c r="F164" i="16"/>
  <c r="D188" i="16"/>
  <c r="F188" i="16"/>
  <c r="I188" i="16"/>
  <c r="H188" i="16"/>
  <c r="J188" i="16"/>
  <c r="E188" i="16"/>
  <c r="F96" i="16"/>
  <c r="H96" i="16"/>
  <c r="I96" i="16"/>
  <c r="D96" i="16"/>
  <c r="E96" i="16"/>
  <c r="J96" i="16"/>
  <c r="J34" i="16"/>
  <c r="E34" i="16"/>
  <c r="F34" i="16"/>
  <c r="H34" i="16"/>
  <c r="I34" i="16"/>
  <c r="D34" i="16"/>
  <c r="E35" i="16"/>
  <c r="J35" i="16"/>
  <c r="I35" i="16"/>
  <c r="H35" i="16"/>
  <c r="D35" i="16"/>
  <c r="F35" i="16"/>
  <c r="I226" i="16"/>
  <c r="H226" i="16"/>
  <c r="J226" i="16"/>
  <c r="E226" i="16"/>
  <c r="D226" i="16"/>
  <c r="F226" i="16"/>
  <c r="J36" i="16"/>
  <c r="D36" i="16"/>
  <c r="I36" i="16"/>
  <c r="E36" i="16"/>
  <c r="F36" i="16"/>
  <c r="H36" i="16"/>
  <c r="H31" i="16"/>
  <c r="D31" i="16"/>
  <c r="F31" i="16"/>
  <c r="E31" i="16"/>
  <c r="J31" i="16"/>
  <c r="I31" i="16"/>
  <c r="I124" i="16"/>
  <c r="H124" i="16"/>
  <c r="J124" i="16"/>
  <c r="D124" i="16"/>
  <c r="F124" i="16"/>
  <c r="E124" i="16"/>
  <c r="E41" i="16"/>
  <c r="I41" i="16"/>
  <c r="D41" i="16"/>
  <c r="H41" i="16"/>
  <c r="J41" i="16"/>
  <c r="F41" i="16"/>
  <c r="F44" i="16"/>
  <c r="I44" i="16"/>
  <c r="D44" i="16"/>
  <c r="E44" i="16"/>
  <c r="H44" i="16"/>
  <c r="J44" i="16"/>
  <c r="F113" i="16"/>
  <c r="H113" i="16"/>
  <c r="D113" i="16"/>
  <c r="E113" i="16"/>
  <c r="I113" i="16"/>
  <c r="J113" i="16"/>
  <c r="E178" i="16"/>
  <c r="H178" i="16"/>
  <c r="I178" i="16"/>
  <c r="D178" i="16"/>
  <c r="J178" i="16"/>
  <c r="F178" i="16"/>
  <c r="F243" i="16"/>
  <c r="D243" i="16"/>
  <c r="H243" i="16"/>
  <c r="J243" i="16"/>
  <c r="I243" i="16"/>
  <c r="E243" i="16"/>
  <c r="G110" i="16"/>
  <c r="I110" i="16"/>
  <c r="J110" i="16"/>
  <c r="F110" i="16"/>
  <c r="D110" i="16"/>
  <c r="E110" i="16"/>
  <c r="H110" i="16"/>
  <c r="J174" i="16"/>
  <c r="H174" i="16"/>
  <c r="E174" i="16"/>
  <c r="D174" i="16"/>
  <c r="F174" i="16"/>
  <c r="I174" i="16"/>
  <c r="I118" i="16"/>
  <c r="D118" i="16"/>
  <c r="J118" i="16"/>
  <c r="E118" i="16"/>
  <c r="F118" i="16"/>
  <c r="H118" i="16"/>
  <c r="H66" i="16"/>
  <c r="I66" i="16"/>
  <c r="E66" i="16"/>
  <c r="D66" i="16"/>
  <c r="J66" i="16"/>
  <c r="F66" i="16"/>
  <c r="J128" i="16"/>
  <c r="D128" i="16"/>
  <c r="H128" i="16"/>
  <c r="F128" i="16"/>
  <c r="I128" i="16"/>
  <c r="E128" i="16"/>
  <c r="G129" i="16"/>
  <c r="F193" i="16"/>
  <c r="D193" i="16"/>
  <c r="H193" i="16"/>
  <c r="E193" i="16"/>
  <c r="I193" i="16"/>
  <c r="J193" i="16"/>
  <c r="J62" i="16"/>
  <c r="H62" i="16"/>
  <c r="D62" i="16"/>
  <c r="I62" i="16"/>
  <c r="F62" i="16"/>
  <c r="E62" i="16"/>
  <c r="I135" i="16"/>
  <c r="D135" i="16"/>
  <c r="J135" i="16"/>
  <c r="E135" i="16"/>
  <c r="F135" i="16"/>
  <c r="H135" i="16"/>
  <c r="F10" i="16"/>
  <c r="E10" i="16"/>
  <c r="D10" i="16"/>
  <c r="H10" i="16"/>
  <c r="I10" i="16"/>
  <c r="J10" i="16"/>
  <c r="D201" i="16"/>
  <c r="J201" i="16"/>
  <c r="H201" i="16"/>
  <c r="F201" i="16"/>
  <c r="E201" i="16"/>
  <c r="I201" i="16"/>
  <c r="J75" i="16"/>
  <c r="H75" i="16"/>
  <c r="E75" i="16"/>
  <c r="D75" i="16"/>
  <c r="F75" i="16"/>
  <c r="I75" i="16"/>
  <c r="D139" i="16"/>
  <c r="J139" i="16"/>
  <c r="I139" i="16"/>
  <c r="E139" i="16"/>
  <c r="H139" i="16"/>
  <c r="F139" i="16"/>
  <c r="J21" i="16"/>
  <c r="E21" i="16"/>
  <c r="D21" i="16"/>
  <c r="I21" i="16"/>
  <c r="F21" i="16"/>
  <c r="H21" i="16"/>
  <c r="H207" i="16"/>
  <c r="I207" i="16"/>
  <c r="E207" i="16"/>
  <c r="F207" i="16"/>
  <c r="J207" i="16"/>
  <c r="D207" i="16"/>
  <c r="F208" i="16"/>
  <c r="I208" i="16"/>
  <c r="H208" i="16"/>
  <c r="J208" i="16"/>
  <c r="D208" i="16"/>
  <c r="E208" i="16"/>
  <c r="G147" i="16"/>
  <c r="I147" i="16"/>
  <c r="E147" i="16"/>
  <c r="H147" i="16"/>
  <c r="J147" i="16"/>
  <c r="F147" i="16"/>
  <c r="D147" i="16"/>
  <c r="J205" i="16"/>
  <c r="D205" i="16"/>
  <c r="F205" i="16"/>
  <c r="I205" i="16"/>
  <c r="H205" i="16"/>
  <c r="E205" i="16"/>
  <c r="E85" i="16"/>
  <c r="F85" i="16"/>
  <c r="H85" i="16"/>
  <c r="J85" i="16"/>
  <c r="D85" i="16"/>
  <c r="I85" i="16"/>
  <c r="I26" i="16"/>
  <c r="J26" i="16"/>
  <c r="E26" i="16"/>
  <c r="F26" i="16"/>
  <c r="D26" i="16"/>
  <c r="H26" i="16"/>
  <c r="J217" i="16"/>
  <c r="E217" i="16"/>
  <c r="I217" i="16"/>
  <c r="F217" i="16"/>
  <c r="H217" i="16"/>
  <c r="D217" i="16"/>
  <c r="J218" i="16"/>
  <c r="F218" i="16"/>
  <c r="E218" i="16"/>
  <c r="H218" i="16"/>
  <c r="I218" i="16"/>
  <c r="D218" i="16"/>
  <c r="E149" i="16"/>
  <c r="D149" i="16"/>
  <c r="H149" i="16"/>
  <c r="F149" i="16"/>
  <c r="I149" i="16"/>
  <c r="J149" i="16"/>
  <c r="E224" i="16"/>
  <c r="I224" i="16"/>
  <c r="D224" i="16"/>
  <c r="J224" i="16"/>
  <c r="F224" i="16"/>
  <c r="H224" i="16"/>
  <c r="H225" i="16"/>
  <c r="E225" i="16"/>
  <c r="I225" i="16"/>
  <c r="D225" i="16"/>
  <c r="J225" i="16"/>
  <c r="F225" i="16"/>
  <c r="G226" i="16"/>
  <c r="D252" i="16"/>
  <c r="H252" i="16"/>
  <c r="I252" i="16"/>
  <c r="F252" i="16"/>
  <c r="J252" i="16"/>
  <c r="E252" i="16"/>
  <c r="I231" i="16"/>
  <c r="D231" i="16"/>
  <c r="E231" i="16"/>
  <c r="J231" i="16"/>
  <c r="H231" i="16"/>
  <c r="F231" i="16"/>
  <c r="E42" i="16"/>
  <c r="F42" i="16"/>
  <c r="D42" i="16"/>
  <c r="H42" i="16"/>
  <c r="I42" i="16"/>
  <c r="J42" i="16"/>
  <c r="E43" i="16"/>
  <c r="F43" i="16"/>
  <c r="D43" i="16"/>
  <c r="H43" i="16"/>
  <c r="I43" i="16"/>
  <c r="J43" i="16"/>
  <c r="J235" i="16"/>
  <c r="I235" i="16"/>
  <c r="D235" i="16"/>
  <c r="E235" i="16"/>
  <c r="F235" i="16"/>
  <c r="H235" i="16"/>
  <c r="H102" i="16"/>
  <c r="D102" i="16"/>
  <c r="E102" i="16"/>
  <c r="F102" i="16"/>
  <c r="J102" i="16"/>
  <c r="I102" i="16"/>
  <c r="E112" i="16"/>
  <c r="F112" i="16"/>
  <c r="I112" i="16"/>
  <c r="D112" i="16"/>
  <c r="J112" i="16"/>
  <c r="H112" i="16"/>
  <c r="F177" i="16"/>
  <c r="D177" i="16"/>
  <c r="I177" i="16"/>
  <c r="E177" i="16"/>
  <c r="J177" i="16"/>
  <c r="H177" i="16"/>
  <c r="H52" i="16"/>
  <c r="E52" i="16"/>
  <c r="I52" i="16"/>
  <c r="J52" i="16"/>
  <c r="D52" i="16"/>
  <c r="F52" i="16"/>
  <c r="I47" i="16"/>
  <c r="F47" i="16"/>
  <c r="H47" i="16"/>
  <c r="E47" i="16"/>
  <c r="J47" i="16"/>
  <c r="D47" i="16"/>
  <c r="H65" i="16"/>
  <c r="J65" i="16"/>
  <c r="D65" i="16"/>
  <c r="E65" i="16"/>
  <c r="I65" i="16"/>
  <c r="F65" i="16"/>
  <c r="H144" i="16"/>
  <c r="I144" i="16"/>
  <c r="E144" i="16"/>
  <c r="J144" i="16"/>
  <c r="D144" i="16"/>
  <c r="F144" i="16"/>
  <c r="J153" i="16"/>
  <c r="H153" i="16"/>
  <c r="D153" i="16"/>
  <c r="E153" i="16"/>
  <c r="F153" i="16"/>
  <c r="I153" i="16"/>
  <c r="E161" i="16"/>
  <c r="H161" i="16"/>
  <c r="D161" i="16"/>
  <c r="F161" i="16"/>
  <c r="J161" i="16"/>
  <c r="I161" i="16"/>
  <c r="G167" i="16"/>
  <c r="F167" i="16"/>
  <c r="J167" i="16"/>
  <c r="H167" i="16"/>
  <c r="E167" i="16"/>
  <c r="D167" i="16"/>
  <c r="I167" i="16"/>
  <c r="J48" i="16"/>
  <c r="H48" i="16"/>
  <c r="I48" i="16"/>
  <c r="D48" i="16"/>
  <c r="F48" i="16"/>
  <c r="E48" i="16"/>
  <c r="H54" i="16"/>
  <c r="J54" i="16"/>
  <c r="D54" i="16"/>
  <c r="E54" i="16"/>
  <c r="F54" i="16"/>
  <c r="I54" i="16"/>
  <c r="U257" i="16"/>
  <c r="H259" i="16"/>
  <c r="I259" i="16"/>
  <c r="F259" i="16"/>
  <c r="E259" i="16"/>
  <c r="J259" i="16"/>
  <c r="D259" i="16"/>
  <c r="E9" i="16"/>
  <c r="I9" i="16"/>
  <c r="H9" i="16"/>
  <c r="J9" i="16"/>
  <c r="F9" i="16"/>
  <c r="D9" i="16"/>
  <c r="D200" i="16"/>
  <c r="F200" i="16"/>
  <c r="E200" i="16"/>
  <c r="J200" i="16"/>
  <c r="I200" i="16"/>
  <c r="H200" i="16"/>
  <c r="J37" i="16"/>
  <c r="D37" i="16"/>
  <c r="H37" i="16"/>
  <c r="F37" i="16"/>
  <c r="I37" i="16"/>
  <c r="E37" i="16"/>
  <c r="D184" i="16"/>
  <c r="H184" i="16"/>
  <c r="J184" i="16"/>
  <c r="I184" i="16"/>
  <c r="E184" i="16"/>
  <c r="F184" i="16"/>
  <c r="J82" i="16"/>
  <c r="D82" i="16"/>
  <c r="E82" i="16"/>
  <c r="H82" i="16"/>
  <c r="I82" i="16"/>
  <c r="F82" i="16"/>
  <c r="H146" i="16"/>
  <c r="F146" i="16"/>
  <c r="E146" i="16"/>
  <c r="J146" i="16"/>
  <c r="I146" i="16"/>
  <c r="D146" i="16"/>
  <c r="I122" i="16"/>
  <c r="D122" i="16"/>
  <c r="E122" i="16"/>
  <c r="H122" i="16"/>
  <c r="F122" i="16"/>
  <c r="J122" i="16"/>
  <c r="G245" i="16"/>
  <c r="D245" i="16"/>
  <c r="J245" i="16"/>
  <c r="H245" i="16"/>
  <c r="F245" i="16"/>
  <c r="I245" i="16"/>
  <c r="E245" i="16"/>
  <c r="D151" i="16"/>
  <c r="J151" i="16"/>
  <c r="H151" i="16"/>
  <c r="F151" i="16"/>
  <c r="E151" i="16"/>
  <c r="I151" i="16"/>
  <c r="J25" i="16"/>
  <c r="D25" i="16"/>
  <c r="F25" i="16"/>
  <c r="E25" i="16"/>
  <c r="H25" i="16"/>
  <c r="I25" i="16"/>
  <c r="I216" i="16"/>
  <c r="F216" i="16"/>
  <c r="H216" i="16"/>
  <c r="J216" i="16"/>
  <c r="D216" i="16"/>
  <c r="E216" i="16"/>
  <c r="H155" i="16"/>
  <c r="D155" i="16"/>
  <c r="I155" i="16"/>
  <c r="F155" i="16"/>
  <c r="J155" i="16"/>
  <c r="E155" i="16"/>
  <c r="E23" i="16"/>
  <c r="H23" i="16"/>
  <c r="J23" i="16"/>
  <c r="D23" i="16"/>
  <c r="F23" i="16"/>
  <c r="I23" i="16"/>
  <c r="D55" i="16"/>
  <c r="E55" i="16"/>
  <c r="F55" i="16"/>
  <c r="I55" i="16"/>
  <c r="J55" i="16"/>
  <c r="H55" i="16"/>
  <c r="E221" i="16"/>
  <c r="F221" i="16"/>
  <c r="H221" i="16"/>
  <c r="D221" i="16"/>
  <c r="J221" i="16"/>
  <c r="I221" i="16"/>
  <c r="G220" i="16"/>
  <c r="J220" i="16"/>
  <c r="D220" i="16"/>
  <c r="I220" i="16"/>
  <c r="H220" i="16"/>
  <c r="F220" i="16"/>
  <c r="E220" i="16"/>
  <c r="I40" i="16"/>
  <c r="J40" i="16"/>
  <c r="F40" i="16"/>
  <c r="D40" i="16"/>
  <c r="H40" i="16"/>
  <c r="E40" i="16"/>
  <c r="F232" i="16"/>
  <c r="J232" i="16"/>
  <c r="E232" i="16"/>
  <c r="D232" i="16"/>
  <c r="I232" i="16"/>
  <c r="H232" i="16"/>
  <c r="H233" i="16"/>
  <c r="F233" i="16"/>
  <c r="J233" i="16"/>
  <c r="E233" i="16"/>
  <c r="D233" i="16"/>
  <c r="I233" i="16"/>
  <c r="I234" i="16"/>
  <c r="J234" i="16"/>
  <c r="E234" i="16"/>
  <c r="D234" i="16"/>
  <c r="H234" i="16"/>
  <c r="F234" i="16"/>
  <c r="J165" i="16"/>
  <c r="G165" i="16"/>
  <c r="H165" i="16"/>
  <c r="I165" i="16"/>
  <c r="D165" i="16"/>
  <c r="F165" i="16"/>
  <c r="E165" i="16"/>
  <c r="D181" i="16"/>
  <c r="F181" i="16"/>
  <c r="I181" i="16"/>
  <c r="H181" i="16"/>
  <c r="E181" i="16"/>
  <c r="J181" i="16"/>
  <c r="G50" i="16"/>
  <c r="D51" i="16"/>
  <c r="I51" i="16"/>
  <c r="E51" i="16"/>
  <c r="F51" i="16"/>
  <c r="H51" i="16"/>
  <c r="J51" i="16"/>
  <c r="G242" i="16"/>
  <c r="D242" i="16"/>
  <c r="J242" i="16"/>
  <c r="I242" i="16"/>
  <c r="F242" i="16"/>
  <c r="H242" i="16"/>
  <c r="E242" i="16"/>
  <c r="H183" i="16"/>
  <c r="F183" i="16"/>
  <c r="J183" i="16"/>
  <c r="E183" i="16"/>
  <c r="D183" i="16"/>
  <c r="I183" i="16"/>
  <c r="E67" i="16"/>
  <c r="F67" i="16"/>
  <c r="J67" i="16"/>
  <c r="I67" i="16"/>
  <c r="D67" i="16"/>
  <c r="H67" i="16"/>
  <c r="G209" i="16"/>
  <c r="E209" i="16"/>
  <c r="F209" i="16"/>
  <c r="H209" i="16"/>
  <c r="I209" i="16"/>
  <c r="D209" i="16"/>
  <c r="J209" i="16"/>
  <c r="H94" i="16"/>
  <c r="I94" i="16"/>
  <c r="F94" i="16"/>
  <c r="E94" i="16"/>
  <c r="D94" i="16"/>
  <c r="J94" i="16"/>
  <c r="E171" i="16"/>
  <c r="D171" i="16"/>
  <c r="J171" i="16"/>
  <c r="F171" i="16"/>
  <c r="H171" i="16"/>
  <c r="I171" i="16"/>
  <c r="D239" i="16"/>
  <c r="I239" i="16"/>
  <c r="F239" i="16"/>
  <c r="H239" i="16"/>
  <c r="J239" i="16"/>
  <c r="E239" i="16"/>
  <c r="F194" i="16"/>
  <c r="I194" i="16"/>
  <c r="J194" i="16"/>
  <c r="H194" i="16"/>
  <c r="D194" i="16"/>
  <c r="E194" i="16"/>
  <c r="E5" i="16"/>
  <c r="J5" i="16"/>
  <c r="I5" i="16"/>
  <c r="H5" i="16"/>
  <c r="D5" i="16"/>
  <c r="F5" i="16"/>
  <c r="G199" i="16"/>
  <c r="D199" i="16"/>
  <c r="J199" i="16"/>
  <c r="I199" i="16"/>
  <c r="F199" i="16"/>
  <c r="H199" i="16"/>
  <c r="E199" i="16"/>
  <c r="F74" i="16"/>
  <c r="I74" i="16"/>
  <c r="H74" i="16"/>
  <c r="J74" i="16"/>
  <c r="E74" i="16"/>
  <c r="D74" i="16"/>
  <c r="G138" i="16"/>
  <c r="G203" i="16"/>
  <c r="D6" i="16"/>
  <c r="E6" i="16"/>
  <c r="F6" i="16"/>
  <c r="J6" i="16"/>
  <c r="I6" i="16"/>
  <c r="H6" i="16"/>
  <c r="D61" i="16"/>
  <c r="E61" i="16"/>
  <c r="J61" i="16"/>
  <c r="I61" i="16"/>
  <c r="H61" i="16"/>
  <c r="F61" i="16"/>
  <c r="J187" i="16"/>
  <c r="D187" i="16"/>
  <c r="I187" i="16"/>
  <c r="H187" i="16"/>
  <c r="F187" i="16"/>
  <c r="E187" i="16"/>
  <c r="E80" i="16"/>
  <c r="I80" i="16"/>
  <c r="F80" i="16"/>
  <c r="D80" i="16"/>
  <c r="H80" i="16"/>
  <c r="J80" i="16"/>
  <c r="E81" i="16"/>
  <c r="D81" i="16"/>
  <c r="H81" i="16"/>
  <c r="F81" i="16"/>
  <c r="I81" i="16"/>
  <c r="J81" i="16"/>
  <c r="G145" i="16"/>
  <c r="D14" i="16"/>
  <c r="H14" i="16"/>
  <c r="E14" i="16"/>
  <c r="J14" i="16"/>
  <c r="I14" i="16"/>
  <c r="F14" i="16"/>
  <c r="E101" i="16"/>
  <c r="H101" i="16"/>
  <c r="D101" i="16"/>
  <c r="F101" i="16"/>
  <c r="J101" i="16"/>
  <c r="I101" i="16"/>
  <c r="D125" i="16"/>
  <c r="H125" i="16"/>
  <c r="J125" i="16"/>
  <c r="I125" i="16"/>
  <c r="E125" i="16"/>
  <c r="F125" i="16"/>
  <c r="G215" i="16"/>
  <c r="F215" i="16"/>
  <c r="J215" i="16"/>
  <c r="D215" i="16"/>
  <c r="I215" i="16"/>
  <c r="H215" i="16"/>
  <c r="E215" i="16"/>
  <c r="G90" i="16"/>
  <c r="I91" i="16"/>
  <c r="E91" i="16"/>
  <c r="D91" i="16"/>
  <c r="J91" i="16"/>
  <c r="H91" i="16"/>
  <c r="F91" i="16"/>
  <c r="E22" i="16"/>
  <c r="J22" i="16"/>
  <c r="I22" i="16"/>
  <c r="H22" i="16"/>
  <c r="F22" i="16"/>
  <c r="D22" i="16"/>
  <c r="G213" i="16"/>
  <c r="I172" i="16"/>
  <c r="E172" i="16"/>
  <c r="F172" i="16"/>
  <c r="J172" i="16"/>
  <c r="D172" i="16"/>
  <c r="H172" i="16"/>
  <c r="E140" i="16"/>
  <c r="F140" i="16"/>
  <c r="J140" i="16"/>
  <c r="H140" i="16"/>
  <c r="D140" i="16"/>
  <c r="I140" i="16"/>
  <c r="F121" i="16"/>
  <c r="J121" i="16"/>
  <c r="I121" i="16"/>
  <c r="H121" i="16"/>
  <c r="E121" i="16"/>
  <c r="D121" i="16"/>
  <c r="D159" i="16"/>
  <c r="E159" i="16"/>
  <c r="F159" i="16"/>
  <c r="J159" i="16"/>
  <c r="I159" i="16"/>
  <c r="H159" i="16"/>
  <c r="E33" i="16"/>
  <c r="D33" i="16"/>
  <c r="I33" i="16"/>
  <c r="J33" i="16"/>
  <c r="H33" i="16"/>
  <c r="F33" i="16"/>
  <c r="F98" i="16"/>
  <c r="I98" i="16"/>
  <c r="J98" i="16"/>
  <c r="E98" i="16"/>
  <c r="D98" i="16"/>
  <c r="H98" i="16"/>
  <c r="F99" i="16"/>
  <c r="I99" i="16"/>
  <c r="D99" i="16"/>
  <c r="E99" i="16"/>
  <c r="J99" i="16"/>
  <c r="H99" i="16"/>
  <c r="D100" i="16"/>
  <c r="H100" i="16"/>
  <c r="I100" i="16"/>
  <c r="F100" i="16"/>
  <c r="J100" i="16"/>
  <c r="E100" i="16"/>
  <c r="G227" i="16"/>
  <c r="D30" i="16"/>
  <c r="I30" i="16"/>
  <c r="E30" i="16"/>
  <c r="J30" i="16"/>
  <c r="H30" i="16"/>
  <c r="F30" i="16"/>
  <c r="U228" i="16"/>
  <c r="G236" i="16"/>
  <c r="I236" i="16"/>
  <c r="E236" i="16"/>
  <c r="H236" i="16"/>
  <c r="J236" i="16"/>
  <c r="D236" i="16"/>
  <c r="F236" i="16"/>
  <c r="G204" i="16"/>
  <c r="G249" i="16"/>
  <c r="J251" i="16"/>
  <c r="I251" i="16"/>
  <c r="H251" i="16"/>
  <c r="F251" i="16"/>
  <c r="D251" i="16"/>
  <c r="E251" i="16"/>
  <c r="G106" i="16"/>
  <c r="G107" i="16"/>
  <c r="D108" i="16"/>
  <c r="I108" i="16"/>
  <c r="J108" i="16"/>
  <c r="H108" i="16"/>
  <c r="F108" i="16"/>
  <c r="E108" i="16"/>
  <c r="G229" i="16"/>
  <c r="D229" i="16"/>
  <c r="J229" i="16"/>
  <c r="E229" i="16"/>
  <c r="I229" i="16"/>
  <c r="H229" i="16"/>
  <c r="F229" i="16"/>
  <c r="G175" i="16"/>
  <c r="J176" i="16"/>
  <c r="E176" i="16"/>
  <c r="H176" i="16"/>
  <c r="D176" i="16"/>
  <c r="F176" i="16"/>
  <c r="I176" i="16"/>
  <c r="G241" i="16"/>
  <c r="H116" i="16"/>
  <c r="E116" i="16"/>
  <c r="F116" i="16"/>
  <c r="J116" i="16"/>
  <c r="D116" i="16"/>
  <c r="I116" i="16"/>
  <c r="F173" i="16"/>
  <c r="J173" i="16"/>
  <c r="D173" i="16"/>
  <c r="I173" i="16"/>
  <c r="E173" i="16"/>
  <c r="H173" i="16"/>
  <c r="G56" i="16"/>
  <c r="G247" i="16"/>
  <c r="G59" i="16"/>
  <c r="D56" i="10"/>
  <c r="C56" i="10"/>
  <c r="D54" i="10"/>
  <c r="C54" i="10"/>
  <c r="C53" i="10"/>
  <c r="D53" i="10"/>
  <c r="C59" i="10"/>
  <c r="D59" i="10"/>
  <c r="D55" i="10"/>
  <c r="C55" i="10"/>
  <c r="D50" i="10"/>
  <c r="C50" i="10"/>
  <c r="D60" i="10"/>
  <c r="C60" i="10"/>
  <c r="C57" i="10"/>
  <c r="D57" i="10"/>
  <c r="C58" i="10"/>
  <c r="D58" i="10"/>
  <c r="F52" i="10"/>
  <c r="H52" i="10" s="1"/>
  <c r="H51" i="10"/>
  <c r="U214" i="16" l="1"/>
  <c r="U195" i="16"/>
  <c r="U76" i="16"/>
  <c r="U150" i="16"/>
  <c r="U230" i="16"/>
  <c r="U236" i="16"/>
  <c r="U221" i="16"/>
  <c r="U51" i="16"/>
  <c r="U217" i="16"/>
  <c r="U147" i="16"/>
  <c r="U179" i="16"/>
  <c r="U83" i="16"/>
  <c r="U148" i="16"/>
  <c r="U56" i="16"/>
  <c r="U114" i="16"/>
  <c r="U193" i="16"/>
  <c r="U25" i="16"/>
  <c r="U48" i="16"/>
  <c r="U145" i="16"/>
  <c r="U28" i="16"/>
  <c r="U12" i="16"/>
  <c r="U30" i="16"/>
  <c r="U251" i="16"/>
  <c r="U62" i="16"/>
  <c r="U84" i="16"/>
  <c r="U140" i="16"/>
  <c r="U220" i="16"/>
  <c r="U243" i="16"/>
  <c r="U108" i="16"/>
  <c r="U215" i="16"/>
  <c r="U85" i="16"/>
  <c r="U250" i="16"/>
  <c r="U123" i="16"/>
  <c r="U74" i="16"/>
  <c r="U233" i="16"/>
  <c r="U21" i="16"/>
  <c r="U10" i="16"/>
  <c r="U111" i="16"/>
  <c r="U32" i="16"/>
  <c r="U156" i="16"/>
  <c r="U91" i="16"/>
  <c r="U65" i="16"/>
  <c r="U208" i="16"/>
  <c r="U128" i="16"/>
  <c r="U73" i="16"/>
  <c r="U143" i="16"/>
  <c r="U191" i="16"/>
  <c r="U171" i="16"/>
  <c r="U234" i="16"/>
  <c r="U75" i="16"/>
  <c r="U36" i="16"/>
  <c r="U92" i="16"/>
  <c r="U97" i="16"/>
  <c r="U77" i="16"/>
  <c r="U19" i="16"/>
  <c r="U116" i="16"/>
  <c r="U93" i="16"/>
  <c r="U131" i="16"/>
  <c r="U244" i="16"/>
  <c r="U229" i="16"/>
  <c r="U232" i="16"/>
  <c r="U167" i="16"/>
  <c r="U135" i="16"/>
  <c r="U29" i="16"/>
  <c r="U129" i="16"/>
  <c r="U166" i="16"/>
  <c r="U86" i="16"/>
  <c r="U120" i="16"/>
  <c r="U248" i="16"/>
  <c r="U240" i="16"/>
  <c r="U70" i="16"/>
  <c r="U249" i="16"/>
  <c r="U213" i="16"/>
  <c r="U117" i="16"/>
  <c r="U106" i="16"/>
  <c r="U199" i="16"/>
  <c r="U242" i="16"/>
  <c r="U259" i="16"/>
  <c r="U177" i="16"/>
  <c r="U224" i="16"/>
  <c r="U53" i="16"/>
  <c r="U81" i="16"/>
  <c r="U209" i="16"/>
  <c r="U43" i="16"/>
  <c r="U225" i="16"/>
  <c r="U205" i="16"/>
  <c r="U201" i="16"/>
  <c r="U35" i="16"/>
  <c r="U164" i="16"/>
  <c r="U100" i="16"/>
  <c r="U178" i="16"/>
  <c r="U258" i="16"/>
  <c r="U69" i="16"/>
  <c r="U180" i="16"/>
  <c r="U109" i="16"/>
  <c r="U33" i="16"/>
  <c r="U121" i="16"/>
  <c r="U101" i="16"/>
  <c r="U14" i="16"/>
  <c r="U245" i="16"/>
  <c r="U146" i="16"/>
  <c r="U207" i="16"/>
  <c r="U254" i="16"/>
  <c r="U59" i="16"/>
  <c r="U203" i="16"/>
  <c r="U154" i="16"/>
  <c r="U161" i="16"/>
  <c r="U41" i="16"/>
  <c r="U212" i="16"/>
  <c r="U197" i="16"/>
  <c r="U189" i="16"/>
  <c r="U45" i="16"/>
  <c r="U127" i="16"/>
  <c r="U126" i="16"/>
  <c r="U219" i="16"/>
  <c r="U239" i="16"/>
  <c r="U16" i="16"/>
  <c r="U13" i="16"/>
  <c r="U64" i="16"/>
  <c r="U49" i="16"/>
  <c r="U119" i="16"/>
  <c r="U80" i="16"/>
  <c r="U187" i="16"/>
  <c r="U184" i="16"/>
  <c r="U252" i="16"/>
  <c r="U139" i="16"/>
  <c r="U110" i="16"/>
  <c r="U255" i="16"/>
  <c r="U173" i="16"/>
  <c r="U99" i="16"/>
  <c r="U22" i="16"/>
  <c r="U183" i="16"/>
  <c r="U181" i="16"/>
  <c r="U216" i="16"/>
  <c r="U151" i="16"/>
  <c r="U82" i="16"/>
  <c r="U37" i="16"/>
  <c r="U112" i="16"/>
  <c r="U102" i="16"/>
  <c r="U231" i="16"/>
  <c r="U26" i="16"/>
  <c r="U34" i="16"/>
  <c r="U96" i="16"/>
  <c r="U18" i="16"/>
  <c r="U38" i="16"/>
  <c r="U88" i="16"/>
  <c r="U89" i="16"/>
  <c r="U24" i="16"/>
  <c r="U78" i="16"/>
  <c r="U68" i="16"/>
  <c r="U125" i="16"/>
  <c r="U144" i="16"/>
  <c r="U42" i="16"/>
  <c r="U149" i="16"/>
  <c r="U174" i="16"/>
  <c r="U44" i="16"/>
  <c r="U188" i="16"/>
  <c r="U17" i="16"/>
  <c r="U186" i="16"/>
  <c r="U136" i="16"/>
  <c r="U256" i="16"/>
  <c r="U210" i="16"/>
  <c r="U241" i="16"/>
  <c r="U137" i="16"/>
  <c r="U172" i="16"/>
  <c r="U67" i="16"/>
  <c r="U55" i="16"/>
  <c r="U132" i="16"/>
  <c r="U202" i="16"/>
  <c r="U138" i="16"/>
  <c r="U61" i="16"/>
  <c r="U194" i="16"/>
  <c r="U165" i="16"/>
  <c r="U200" i="16"/>
  <c r="U52" i="16"/>
  <c r="U218" i="16"/>
  <c r="U113" i="16"/>
  <c r="U162" i="16"/>
  <c r="U46" i="16"/>
  <c r="U152" i="16"/>
  <c r="U11" i="16"/>
  <c r="U133" i="16"/>
  <c r="U115" i="16"/>
  <c r="U58" i="16"/>
  <c r="U8" i="16"/>
  <c r="U247" i="16"/>
  <c r="U107" i="16"/>
  <c r="U227" i="16"/>
  <c r="U176" i="16"/>
  <c r="U98" i="16"/>
  <c r="U159" i="16"/>
  <c r="U6" i="16"/>
  <c r="U40" i="16"/>
  <c r="U122" i="16"/>
  <c r="U9" i="16"/>
  <c r="U54" i="16"/>
  <c r="U47" i="16"/>
  <c r="U124" i="16"/>
  <c r="U31" i="16"/>
  <c r="U72" i="16"/>
  <c r="U57" i="16"/>
  <c r="U141" i="16"/>
  <c r="U104" i="16"/>
  <c r="U237" i="16"/>
  <c r="U50" i="16"/>
  <c r="U175" i="16"/>
  <c r="U90" i="16"/>
  <c r="U211" i="16"/>
  <c r="U5" i="16"/>
  <c r="U94" i="16"/>
  <c r="U23" i="16"/>
  <c r="U155" i="16"/>
  <c r="U153" i="16"/>
  <c r="U235" i="16"/>
  <c r="U66" i="16"/>
  <c r="U118" i="16"/>
  <c r="U226" i="16"/>
  <c r="U27" i="16"/>
  <c r="U60" i="16"/>
  <c r="U253" i="16"/>
  <c r="U170" i="16"/>
  <c r="U169" i="16"/>
  <c r="U157" i="16"/>
  <c r="U185" i="16"/>
  <c r="U192" i="16"/>
  <c r="U204" i="16"/>
  <c r="U223" i="16"/>
  <c r="U20" i="16"/>
  <c r="U196" i="16"/>
  <c r="U198" i="16"/>
  <c r="D51" i="10"/>
  <c r="C51" i="10"/>
  <c r="D52" i="10"/>
  <c r="C52" i="10"/>
  <c r="G66" i="10" l="1"/>
  <c r="H66" i="10" s="1"/>
  <c r="H67" i="10" s="1"/>
  <c r="D2" i="10" s="1"/>
  <c r="I3" i="4" s="1"/>
  <c r="B88" i="4" s="1"/>
  <c r="F3" i="4" l="1"/>
</calcChain>
</file>

<file path=xl/comments1.xml><?xml version="1.0" encoding="utf-8"?>
<comments xmlns="http://schemas.openxmlformats.org/spreadsheetml/2006/main">
  <authors>
    <author>a64a</author>
    <author>Connors, Jared M</author>
    <author>Hillary Amster</author>
    <author>John Plyler</author>
  </authors>
  <commentList>
    <comment ref="P3" authorId="0" shapeId="0">
      <text>
        <r>
          <rPr>
            <sz val="9"/>
            <color indexed="81"/>
            <rFont val="ＭＳ Ｐゴシック"/>
            <family val="3"/>
            <charset val="128"/>
          </rPr>
          <t>location number in language list</t>
        </r>
      </text>
    </comment>
    <comment ref="B9" authorId="1" shapeId="0">
      <text>
        <r>
          <rPr>
            <sz val="10"/>
            <color indexed="81"/>
            <rFont val="Tahoma"/>
            <family val="2"/>
          </rPr>
          <t xml:space="preserve">Select your company's Declaration Scope.  The options for scope are: A.  Company-wide; B.  Product (or List of Products); C.  User-Defined
选择贵公司的申报范围。申报范围层面选项: A.全公司; B. 产品 （或产品清单); C. 自定义
御社の申告範囲を選択してください。範囲の選択肢は以下のとおりです。A. Company-wide: 全社; B. Product (or List of Products): 製品（または製品リスト); C. User Defined: (ユーザー定義)
귀사 문서의 선언 범위를 선택하시오. 선언범위의 선택사항은 아래와 같읍니다.  A. 전사; B. 제품 (또는 제품의 목록); C. 사용자 정의
Sélectionner le périmètre de Déclaration de votre entreprise. Les choix possibles sont : A. Pour toute l'entreprise; B. Produit ( ou liste de produits); C Défini par l'utilisateur
Selecionar o âmbito da Declaração da sua Empresa. As opções são: A. Toda a Empresa; B. Produtos (ou lista de Produtos); C. Definido pelo Utilizador
Wählen Sie Ihre Erklärung. Die Optionen für den Geltungsbereich sind: A. Unternehmensweit; B. Ware (oder eine Liste von Produkten); C. Benutzerdefinierte; 
Seleccione la declaración del alcance de su empresa.  Las opciones para el  alcance son:  A.- A nivel compañía; B.- Producto ( o Lista de productos); C.- Definido por el usuario. 
Selezionare il perimetro di dichiarazione dell'Azienda. Le opzioni per il perimetro sono:  A. Perimetro aziendale; B. Prodotto (o lista dei prodotti); C. Definito dall'utilizzatore/utente campi 
Şirketinizin Beyan Kapsamını seçin.  Kapsam seçenekleri aşağıdaki gibidir: A.  Şirket Geneli; B.  Ürün (veya Ürün Listesi); C.  Kullanıcı Tanımlı
</t>
        </r>
      </text>
    </comment>
    <comment ref="P9" authorId="0" shapeId="0">
      <text>
        <r>
          <rPr>
            <sz val="9"/>
            <color indexed="81"/>
            <rFont val="ＭＳ Ｐゴシック"/>
            <family val="3"/>
            <charset val="128"/>
          </rPr>
          <t>list for Validation in D9</t>
        </r>
      </text>
    </comment>
    <comment ref="B16" authorId="1" shapeId="0">
      <text>
        <r>
          <rPr>
            <sz val="12"/>
            <color indexed="81"/>
            <rFont val="Tahoma"/>
            <family val="2"/>
          </rPr>
          <t xml:space="preserve">Enter a valid email address for contact person here
在这里输入公司代表的有效电邮地址。
連絡先担当者の有効な電子メールアドレスを入力してください
문의담당자 이메일 주소를 기입하시오.
Indiquer l' adresse email valide du contact
Adicione aqui um endereço de email válido para a pessoa de contacto.
Geben Sie hier eine gültige E-mail Adresse für den Ansprechpartner ein
Capture una dirección de email valida del contacto de la compañía aquí
Inserire un indizzo email valido della persona di riferimento
İrtibat kişisi için buraya geçerli bir e-posta adresi girin
</t>
        </r>
      </text>
    </comment>
    <comment ref="B20" authorId="1" shapeId="0">
      <text>
        <r>
          <rPr>
            <sz val="12"/>
            <color indexed="81"/>
            <rFont val="Tahoma"/>
            <family val="2"/>
          </rPr>
          <t>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t>
        </r>
        <r>
          <rPr>
            <sz val="9"/>
            <color indexed="81"/>
            <rFont val="Tahoma"/>
            <family val="2"/>
          </rPr>
          <t xml:space="preserve">
</t>
        </r>
        <r>
          <rPr>
            <sz val="12"/>
            <color indexed="81"/>
            <rFont val="Tahoma"/>
            <family val="2"/>
          </rPr>
          <t>İzin yetkilisi için buraya geçerli bir e-posta adresi girin</t>
        </r>
      </text>
    </comment>
    <comment ref="B22" authorId="1" shapeId="0">
      <text>
        <r>
          <rPr>
            <sz val="12"/>
            <color indexed="81"/>
            <rFont val="Arial"/>
            <family val="2"/>
          </rPr>
          <t xml:space="preserve">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문서 작성 완료 날짜를 기입하시오.  날짜는 DD-MMM-YYYY (예: 12-Jul-2012)로 표기하시오.
Merci d'indiquer la date à laquelle ce formulaire a été complété par votre entreprise. La date doit être indiquée au format international : JJ-MMM-AAAA.
Por favor, registe a data em que este formulário  foi preenchido pela sua empresa. A data deve ser apresentada em formato internacional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
Şirketinizin bu formu doldurduğu tarihi not edin
Tarih uluslararası GG-AAA-YYYY formatında görüntülenmelidir
</t>
        </r>
      </text>
    </comment>
    <comment ref="D2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P26" authorId="0" shapeId="0">
      <text>
        <r>
          <rPr>
            <sz val="9"/>
            <color indexed="81"/>
            <rFont val="ＭＳ Ｐゴシック"/>
            <family val="3"/>
            <charset val="128"/>
          </rPr>
          <t>condition for answer</t>
        </r>
      </text>
    </comment>
    <comment ref="D31" authorId="1" shapeId="0">
      <text>
        <r>
          <rPr>
            <sz val="12"/>
            <color indexed="81"/>
            <rFont val="Tahoma"/>
            <family val="2"/>
          </rPr>
          <t xml:space="preserve">From the dropdown choose a response of "Yes" or "No."  Substantiate a "Yes" answer in the comments section.
从下拉列表中选择“是” 或 “不是”  如果回答“是”，请在注释部分提供证明
ドロップダウンメニューから「Yes（はい）」又は「No（いいえ）」を選択してください  「Yes（はい）」と回答した場合は、コメント欄に具体的に記入してください
Yes = 예, No = 아니오  "Yes"라고 대답한 경우 비고란에 구체적으로 기재하십시오
Sélectionner "Yes" (Oui) ou  "No" (Non) dans la liste déroulante.  Justifiez votre réponse affirmative dans la section des commentaires
A partir da lista selecione a resposta: "Sim" ou "Não".  Fundamente uma resposta “Sim” na área de comentários.
Wählen Sie aus der Drop-down Liste eine Antwort: "Ja" oder "Nein." Begründen Sie eine „Ja“-Antwort im Kommentarabschnitt
De las opciones elija la respuesta "Si" o "No." Confirme una respuesta afirmativa en la sección de comentarios
Dalle presente lista, scegliete la risposta: "Si" o "No." Motivare le risposte affermative (“Sì”) nella sezione dei commenti
Açılır menüden "Evet" veya "Hayır" yanıtını seçin.  Verilen bir “Evet” yanıtının gerekçelerini Yorumlar bölümünde belirtin.
</t>
        </r>
      </text>
    </comment>
    <comment ref="D37" authorId="2" shapeId="0">
      <text>
        <r>
          <rPr>
            <sz val="12"/>
            <color indexed="81"/>
            <rFont val="Tahoma"/>
            <family val="2"/>
          </rPr>
          <t>From the dropdown choose a response of "Yes" or "No."  Substantiate a "Yes" answer in the comments section.
从下拉列表中选择“是” 或 “不是”  如果回答“是”，请在注释部分提供证明
ドロップダウンメニューから「Yes（はい）」又は「No（いいえ）」を選択してください  「Yes（はい）」と回答した場合は、コメント欄に具体的に記入してください
Yes = 예, No = 아니오  "Yes"라고 대답한 경우 비고란에 구체적으로 기재하십시오
Sélectionner "Yes" (Oui) ou  "No" (Non) dans la liste déroulante.  Justifiez votre réponse affirmative dans la section des commentaires
A partir da lista selecione a resposta: "Sim" ou "Não".  Fundamente uma resposta “Sim” na área de comentários.
Wählen Sie aus der Drop-down Liste eine Antwort: "Ja" oder "Nein." Begründen Sie eine „Ja“-Antwort im Kommentarabschnitt
De las opciones elija la respuesta "Si" o "No." Confirme una respuesta afirmativa en la sección de comentarios
Dalle presente lista, scegliete la risposta: "Si" o "No." Motivare le risposte affermative (“Sì”) nella sezione dei commenti
Açılır menüden "Evet" veya "Hayır" yanıtını seçin.  Verilen bir “Evet” yanıtının gerekçelerini Yorumlar bölümünde belirtin.</t>
        </r>
      </text>
    </comment>
    <comment ref="Q37" authorId="0" shapeId="0">
      <text>
        <r>
          <rPr>
            <sz val="9"/>
            <color indexed="81"/>
            <rFont val="ＭＳ Ｐゴシック"/>
            <family val="3"/>
            <charset val="128"/>
          </rPr>
          <t>condition for answer</t>
        </r>
      </text>
    </comment>
    <comment ref="P38" authorId="0" shapeId="0">
      <text>
        <r>
          <rPr>
            <sz val="9"/>
            <color indexed="81"/>
            <rFont val="ＭＳ Ｐゴシック"/>
            <family val="3"/>
            <charset val="128"/>
          </rPr>
          <t>condition for answer Q3 and later</t>
        </r>
      </text>
    </comment>
    <comment ref="D43" authorId="1" shapeId="0">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menu elija una respuesta de "Si", "No", o "Desconocido"
Dalle presente lista, scegliete la risposta: "Si", "No" o "Non conosciuto"
Açılır menüden "Evet", "Hayır" veya "Bilinmiyor" yanıtını seçin</t>
        </r>
      </text>
    </comment>
    <comment ref="D49" authorId="3" shapeId="0">
      <text>
        <r>
          <rPr>
            <sz val="12"/>
            <color indexed="81"/>
            <rFont val="Tahoma"/>
            <family val="2"/>
          </rPr>
          <t>From the dropdown choose a response of: “Yes, 100%”; “No, but greater than 75%”; “No, but greater than 50%”; “No, but greater than 25%”;  or “No, but less than 25%”; or “None”
从下拉菜单中选择一个回应: 是； 不是，但大于75%； 不是，但大于50%；不是，但大于25%；不是，但小于25%； 或 不是，完全没有。
ドロップダウンメニューから、「Yes, 100%（はい、100%）」、「No, but greater than 75%（いいえ/75%超」、「No, but greater than 50%（いいえ/50%超）」、「No, but greater than 25%（いいえ/25%超）」、「No, but less than 25%（いいえ/25%未満）」又は「None（ゼロ）」を選択してください
드랍다운 메뉴에서 하나를 선택하시오: 예 100%; 아니오 하지만 75% 이상;  아니오 하지만 50% 이상; 아니오 하지만 25% 이상; 아니오 하지만 25% 미만; None = 없음
Dans le menu déroulant, choisir la réponse : Oui, Non mais &gt; 75%, Non mais &gt; 50%, Non mais &gt; 25%, Non mais , 25 % ou Non - Aucun
A partir da lista seleccione a resposta: "Sim, 100%"; "Não, mas superior a 75%"; "Não, mas superior a 50%"; "Não, mas superior a 25%"; "Não, mas inferior a 25%"; ou "Nenhum".
Wählen Sie aus der Drop-down Liste eine Antwort:  "Ja 100 %",  "Nein, aber mehr als 75 %",  "Nein, aber mehr als 50 %",  "Nein, aber mehr als 25 %", " Nein, aber mehr als 25 %" oder "Nein, aber weniger als 25 %" oder "Nein"
Del menú elija una respuesta de "Si, 100%"; " No, pero  &gt; 75%"," No, pero  &gt; 50%", "No, pero  &gt;25%", "No, pero &lt; 25%", o No-ninguno
Dalla presente lista, scegliete la risposta: Si, ma non &gt; 75%, No ma non  &gt; 50%, No ma non  &gt; 25%, No ma non &lt; 25%, or No - niente
Açılır menüden aşağıdaki yanıtlardan birini seçin: “Evet, %100”; “Hayır, ancak %75'ten fazla”; “Hayır, ancak %50'den fazla”; “Hayır, ancak %25'ten fazla”; “Hayır, ancak %25'ten az” veya “Hiçbiri”</t>
        </r>
      </text>
    </comment>
    <comment ref="D5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D61"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D68"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List>
</comments>
</file>

<file path=xl/comments2.xml><?xml version="1.0" encoding="utf-8"?>
<comments xmlns="http://schemas.openxmlformats.org/spreadsheetml/2006/main">
  <authors>
    <author>a64a</author>
  </authors>
  <commentList>
    <comment ref="T3" authorId="0" shape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2" authorId="0" shapeId="0">
      <text>
        <r>
          <rPr>
            <b/>
            <sz val="9"/>
            <color indexed="81"/>
            <rFont val="Tahoma"/>
            <family val="2"/>
          </rPr>
          <t>John Plyler:</t>
        </r>
        <r>
          <rPr>
            <sz val="9"/>
            <color indexed="81"/>
            <rFont val="Tahoma"/>
            <family val="2"/>
          </rPr>
          <t xml:space="preserve">
change from F50 to F25 to F28</t>
        </r>
      </text>
    </comment>
    <comment ref="F63" authorId="0" shapeId="0">
      <text>
        <r>
          <rPr>
            <b/>
            <sz val="9"/>
            <color indexed="81"/>
            <rFont val="Tahoma"/>
            <family val="2"/>
          </rPr>
          <t>John Plyler:</t>
        </r>
        <r>
          <rPr>
            <sz val="9"/>
            <color indexed="81"/>
            <rFont val="Tahoma"/>
            <family val="2"/>
          </rPr>
          <t xml:space="preserve">
change from F50 to F25 to F28</t>
        </r>
      </text>
    </comment>
    <comment ref="F64" authorId="0" shapeId="0">
      <text>
        <r>
          <rPr>
            <b/>
            <sz val="9"/>
            <color indexed="81"/>
            <rFont val="Tahoma"/>
            <family val="2"/>
          </rPr>
          <t>John Plyler:</t>
        </r>
        <r>
          <rPr>
            <sz val="9"/>
            <color indexed="81"/>
            <rFont val="Tahoma"/>
            <family val="2"/>
          </rPr>
          <t xml:space="preserve">
change from F50 to F25 to F28</t>
        </r>
      </text>
    </comment>
    <comment ref="F65" authorId="0" shape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5" authorId="0" shape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<sst xmlns="http://schemas.openxmlformats.org/spreadsheetml/2006/main" count="9101" uniqueCount="4998">
  <si>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</si>
  <si>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</si>
  <si>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</si>
  <si>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</si>
  <si>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</si>
  <si>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</si>
  <si>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31"/>
  </si>
  <si>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</si>
  <si>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</si>
  <si>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</si>
  <si>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</si>
  <si>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</si>
  <si>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</si>
  <si>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</si>
  <si>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</si>
  <si>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</si>
  <si>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</si>
  <si>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Alcune aziende potrebbero richiedere di sostanziare il NO, ciò può essere fatto nel campo Commenti</t>
  </si>
  <si>
    <t>Istruzioni per rispondere alle domande A. - J. (Righe 69- 87).  Le domande A. J. Sono obbligatorie  se la risposte alle domande 1 o 2 è SI per qualsiasi metallo.
Si prega di rispondere unicamente in Inglese.</t>
  </si>
  <si>
    <t>15. Il 100% delle materie prime della fonderia sono originate da fonti riciclate o scarti? - Rispondere SI se la fonderia per i suoi processi di fuzione utilizza solo materiali provenienti da fonti riciclate o scarti. Altrimenti rispondere "No"</t>
  </si>
  <si>
    <t>Ja</t>
  </si>
  <si>
    <t>Nein</t>
  </si>
  <si>
    <t>Nicht bekannt</t>
  </si>
  <si>
    <t>Ja, 100%</t>
  </si>
  <si>
    <t>Nein, aber mehr als 75 %</t>
  </si>
  <si>
    <t>Nein, aber mehr als 50 %</t>
  </si>
  <si>
    <t>Nein, aber mehr als 25 %</t>
  </si>
  <si>
    <t>Nein, aber weniger als 25 %</t>
  </si>
  <si>
    <t>Keine</t>
  </si>
  <si>
    <t>Schmelzhütten-Ansprechpartner: E-mail</t>
  </si>
  <si>
    <t>Vorgeschlagenen nächsten Schritte</t>
  </si>
  <si>
    <t>Accurate Refining Group</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</si>
  <si>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</si>
  <si>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</si>
  <si>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</si>
  <si>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</si>
  <si>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</si>
  <si>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</si>
  <si>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</si>
  <si>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</si>
  <si>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</si>
  <si>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</si>
  <si>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</si>
  <si>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</si>
  <si>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</si>
  <si>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</si>
  <si>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</si>
  <si>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</si>
  <si>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</si>
  <si>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</si>
  <si>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</si>
  <si>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Douluoshan Sapphire Rare Metal Co Ltd</t>
  </si>
  <si>
    <t>RFH (Yanling Jincheng Tantalum &amp; Niobium Co., Ltd)</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</si>
  <si>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</si>
  <si>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</si>
  <si>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</si>
  <si>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</si>
  <si>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</si>
  <si>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</si>
  <si>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</si>
  <si>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</si>
  <si>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</si>
  <si>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</si>
  <si>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</si>
  <si>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</si>
  <si>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</si>
  <si>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</si>
  <si>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</si>
  <si>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</si>
  <si>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</si>
  <si>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</si>
  <si>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</si>
  <si>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</si>
  <si>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</si>
  <si>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</si>
  <si>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</si>
  <si>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Sumitomo Metal Mining Co., Ltd.</t>
  </si>
  <si>
    <t>CID002307</t>
  </si>
  <si>
    <t xml:space="preserve">ID Unico Aziendale rilasciato dall’autorità </t>
  </si>
  <si>
    <t>Vecchio ID della fonderia</t>
  </si>
  <si>
    <t>Nuovo ID della fonderia</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</si>
  <si>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</si>
  <si>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</si>
  <si>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</si>
  <si>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</si>
  <si>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</si>
  <si>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</si>
  <si>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</si>
  <si>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</si>
  <si>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</si>
  <si>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</si>
  <si>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</si>
  <si>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</si>
  <si>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</si>
  <si>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</si>
  <si>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</si>
  <si>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</si>
  <si>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</si>
  <si>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</si>
  <si>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15. 100% das matérias primas das fundições tem origem em material reciclado ou desperdício? Por favor responder "Sim" se a fundição obtiver apenas materiais de fontes de reciclagem ou desperdício para o seu processo de fundição. Caso contrário, responda "Não.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</si>
  <si>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</si>
  <si>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</si>
  <si>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</si>
  <si>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</si>
  <si>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</si>
  <si>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</si>
  <si>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</si>
  <si>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</si>
  <si>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</si>
  <si>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</si>
  <si>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</si>
  <si>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</si>
  <si>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</si>
  <si>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</si>
  <si>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</si>
  <si>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</si>
  <si>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</si>
  <si>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</si>
  <si>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</si>
  <si>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</si>
  <si>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</si>
  <si>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</si>
  <si>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</si>
  <si>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</si>
  <si>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</si>
  <si>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</si>
  <si>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</si>
  <si>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</si>
  <si>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</si>
  <si>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</si>
  <si>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</si>
  <si>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</si>
  <si>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</si>
  <si>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</si>
  <si>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</si>
  <si>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</si>
  <si>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</si>
  <si>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</si>
  <si>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</si>
  <si>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</si>
  <si>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</si>
  <si>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</si>
  <si>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CFSP(GASP) Compliant Smelter Liste</t>
  </si>
  <si>
    <t>Konfliktfreie Anwendungsverteilung Smelter Programm (GASP)(CFSP)</t>
  </si>
  <si>
    <t>Konfliktfreie Anwendungsverteilung Sourcing Initiative</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</si>
  <si>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</si>
  <si>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</si>
  <si>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</si>
  <si>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</si>
  <si>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</si>
  <si>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</si>
  <si>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</si>
  <si>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</si>
  <si>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</si>
  <si>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</si>
  <si>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</si>
  <si>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</si>
  <si>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</si>
  <si>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</si>
  <si>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</si>
  <si>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</si>
  <si>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</si>
  <si>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</si>
  <si>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</si>
  <si>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</si>
  <si>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</si>
  <si>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</si>
  <si>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</si>
  <si>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 xml:space="preserve">I. Tu proceso de verificación incluye manejo de acciones correctivas? </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</si>
  <si>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</si>
  <si>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</si>
  <si>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</si>
  <si>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</si>
  <si>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</si>
  <si>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</si>
  <si>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</si>
  <si>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</si>
  <si>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</si>
  <si>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</si>
  <si>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</si>
  <si>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</si>
  <si>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Personne responsable</t>
  </si>
  <si>
    <t>Nom de la personne responsable de la déclaration (*):</t>
  </si>
  <si>
    <t>Ancien Numero d’Identification  de la Fonderie/Affinerie</t>
  </si>
  <si>
    <t>Nouveau Numero d’Identification  de la Fonderie/Affinerie</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</si>
  <si>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</si>
  <si>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</si>
  <si>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</si>
  <si>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</si>
  <si>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</si>
  <si>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2014 Conflict-Free Sourcing Initiative. All rights reserved.</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</si>
  <si>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</si>
  <si>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</si>
  <si>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</si>
  <si>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</si>
  <si>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</si>
  <si>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</si>
  <si>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</si>
  <si>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</si>
  <si>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</si>
  <si>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</si>
  <si>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</si>
  <si>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</si>
  <si>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</si>
  <si>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</si>
  <si>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</si>
  <si>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</si>
  <si>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</si>
  <si>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</si>
  <si>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</si>
  <si>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</si>
  <si>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</si>
  <si>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</si>
  <si>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</si>
  <si>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</si>
  <si>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</si>
  <si>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 xml:space="preserve">Website do CFSI: (www.conflictfreesourcing.org)
Formação e guias de orientação, modelos, lista de fundições cumpridoras com o Programa de Fundições Livres de Conflitos.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</si>
  <si>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</si>
  <si>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</si>
  <si>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</si>
  <si>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</si>
  <si>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</si>
  <si>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</si>
  <si>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</si>
  <si>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</si>
  <si>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</si>
  <si>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</si>
  <si>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</si>
  <si>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</si>
  <si>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</si>
  <si>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</si>
  <si>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</si>
  <si>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</si>
  <si>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</si>
  <si>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</si>
  <si>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</si>
  <si>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</si>
  <si>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</si>
  <si>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</si>
  <si>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</si>
  <si>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</si>
  <si>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</si>
  <si>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</si>
  <si>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</si>
  <si>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</si>
  <si>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</si>
  <si>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</si>
  <si>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</si>
  <si>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</si>
  <si>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</si>
  <si>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</si>
  <si>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</si>
  <si>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A. Avete in atto una politica riguardante la fornitura di minerali di conflitto?</t>
  </si>
  <si>
    <t>B. La vostra politica sulla fornitura di minerali di conflitto è  disponibile e accessibile a tutti sul vostro sito internet? (Nota: in caso di risposta affermativa, l'utente deve specificare l'URL nel campo commenti)</t>
  </si>
  <si>
    <t>H.Avete verificato le informazioni di dovuta diligenza ricevute dai vostri fornitori rispetto alle aspettative della vostra azienda?</t>
  </si>
  <si>
    <t>sì</t>
  </si>
  <si>
    <t>no</t>
  </si>
  <si>
    <t>Ignoto</t>
  </si>
  <si>
    <t>Sì, 100%</t>
  </si>
  <si>
    <t>No, ma superiore al 75%</t>
  </si>
  <si>
    <t>No, ma superiore al 50%</t>
  </si>
  <si>
    <t>No, ma superiore al 25%</t>
  </si>
  <si>
    <t>No, ma inferiore al 25%</t>
  </si>
  <si>
    <t>nessuno</t>
  </si>
  <si>
    <t>Nome Fonderia (*)</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</si>
  <si>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</si>
  <si>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</si>
  <si>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</si>
  <si>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</si>
  <si>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</si>
  <si>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</si>
  <si>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</si>
  <si>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E. Por favor, responda "Sí" o "No" para revelar si su empresa ha implementado medidas de diligencia  para el abastecimiento de minerales de conflicto. Esta declaración no tiene por objeto proveer los detalles de las medidas de diligencia debida de la empresa - sólo que una empresa ha implementado medidas de diligencia debida. Los aspectos de las medidas aceptables de debida diligencia se determinarán por el solicitante y el proveedor.
Ejemplos de medidas de diligencia debida podrán incluir: la comunicación y la incorporación en los contratos (en lo posible) sus expectativas a los proveedores en la cadena de suministro de minerales libres de conflicto, la identificación y evaluación de riesgos en la cadena de suministro; diseño e implementación de una estrategia para responder a los riesgos señalados, la verificación del cumplimiento por parte de su proveedor directo a la política libre de conflictos RDC, etc Estos ejemplos de medidas de diligencia debida son consistentes con las normas establecidas en la guía de orientación de la OCDE internacionalmente reconocida.</t>
  </si>
  <si>
    <t>G.  Por favor responda "Si" o "No". Proporcione cualquier comentario, si es necesario.</t>
  </si>
  <si>
    <t xml:space="preserve">H. Por favor responda "Si" o "No". En la sección de comentarios, puede incluirse información adicional de tu plan. Los ejemplos pueden ser:
auditoria  por terceros”  se refiere a auditorias en sitio de los proveedores hechos por terceras compañías independientes.  
 " Revisión de documentación solamente” se refiere a la revisión  de records enviados del proveedor y documentación hecha por una tercera compañía independiente y, o personal de tu empresa.   
 “Auditoria Interna”  se refiere a auditoria en sitio de tus proveedores realizada por personal de tu compañía.
</t>
  </si>
  <si>
    <t>I.  Por favor proporcione "Si" o "No". Si es "Si", por favor describa como maneja el proceso de la acción correctiva.</t>
  </si>
  <si>
    <t>J.  Por favor responda “Si” o “No”.  Los requerimiento de desglose para minerales conflictivos de la SEC aplica para las compañías que cotizan en la bolsa de valores  de los Estados Unidos que están sujetas a la ley de Securities Exchange de los Estados Unidos. Para mayor información vaya a  www.sec.gov.</t>
  </si>
  <si>
    <t xml:space="preserve">Instrucciones para completar el Tab de Lista de fundidores. Proporcione las respuestas en INGLES solamente
 </t>
  </si>
  <si>
    <t>Nota: Las columnas con (*) son campos obligatorios.</t>
  </si>
  <si>
    <t xml:space="preserve">Este templete permite la identificación del fundidor usando la lista de referencia de fundidores. las columnas B,C,D y E deben ser completadas en orden de izquierda a derecha par utilizar la funcionalidad de la lista de referencia de fundidores. Use una line separada para cada combinación de  metal/fundidor/país  </t>
  </si>
  <si>
    <t>15. El 100% de la materia prima del fundidor proviene de fuentes de reciclado o deshecho? - Por favor conteste "Si" si el fundidor usa solamente material de reciclado o deshecho para sus proceso (s) de fundición.</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</si>
  <si>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</si>
  <si>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</si>
  <si>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</si>
  <si>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</si>
  <si>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</si>
  <si>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</si>
  <si>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</si>
  <si>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</si>
  <si>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</si>
  <si>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</si>
  <si>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</si>
  <si>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</si>
  <si>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</si>
  <si>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</si>
  <si>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</si>
  <si>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</si>
  <si>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</si>
  <si>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</si>
  <si>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</si>
  <si>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</si>
  <si>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</si>
  <si>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</si>
  <si>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</si>
  <si>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</si>
  <si>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</si>
  <si>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</si>
  <si>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</si>
  <si>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</si>
  <si>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</si>
  <si>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</si>
  <si>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</si>
  <si>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</si>
  <si>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</si>
  <si>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</si>
  <si>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</si>
  <si>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</si>
  <si>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</si>
  <si>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</si>
  <si>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</si>
  <si>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</si>
  <si>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</si>
  <si>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</si>
  <si>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</si>
  <si>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</si>
  <si>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</si>
  <si>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</si>
  <si>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</si>
  <si>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</si>
  <si>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</si>
  <si>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</si>
  <si>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</si>
  <si>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</si>
  <si>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</si>
  <si>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</si>
  <si>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</si>
  <si>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</si>
  <si>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 xml:space="preserve">A. Tem uma política implementada, dirigida a fontes de minerais de conflito? </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</si>
  <si>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</si>
  <si>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</si>
  <si>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</si>
  <si>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G. Solicita o nome da fundições aos seus fornecedores?</t>
  </si>
  <si>
    <t xml:space="preserve">H.  Verifica e revê a informação das diligências devidas recebidas dos seus fornecedores face as expectativas da Empresa? </t>
  </si>
  <si>
    <t>I. O processo de revisão inclui a gestão de ações corretivas?</t>
  </si>
  <si>
    <t>J. Está sujeito às regras da comissão  "SEC" para minerais de Conflito?</t>
  </si>
  <si>
    <t>Tântalo</t>
  </si>
  <si>
    <t>Estanho</t>
  </si>
  <si>
    <t>Ouro</t>
  </si>
  <si>
    <t>Tungsténio</t>
  </si>
  <si>
    <t>Sim</t>
  </si>
  <si>
    <t>Não</t>
  </si>
  <si>
    <t>Desconhecido</t>
  </si>
  <si>
    <t>Sim, 100%</t>
  </si>
  <si>
    <t>Não, mas superior a 75%</t>
  </si>
  <si>
    <t>Não, mas superior a 50%</t>
  </si>
  <si>
    <t>Não, mas superior a 25%</t>
  </si>
  <si>
    <t>Não, mas inferior a 25%</t>
  </si>
  <si>
    <t>Nenhum</t>
  </si>
  <si>
    <t>Identificação antiga da Fundição</t>
  </si>
  <si>
    <t>Identificação Nova da Fundição</t>
  </si>
  <si>
    <t>Nomes estandardizados de Fundições</t>
  </si>
  <si>
    <t>Pseudônimos conhecidos</t>
  </si>
  <si>
    <t>Localização da Unidade de Fundição: País</t>
  </si>
  <si>
    <t>Lista de referência de Fundições(*)</t>
  </si>
  <si>
    <t>Nome da Fundição (*)</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</si>
  <si>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</si>
  <si>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</si>
  <si>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</si>
  <si>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</si>
  <si>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</si>
  <si>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</si>
  <si>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</si>
  <si>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</si>
  <si>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</si>
  <si>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</si>
  <si>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</si>
  <si>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</si>
  <si>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</si>
  <si>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</si>
  <si>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</si>
  <si>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</si>
  <si>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</si>
  <si>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</si>
  <si>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</si>
  <si>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</si>
  <si>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</si>
  <si>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</si>
  <si>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</si>
  <si>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</si>
  <si>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</si>
  <si>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A.紛争鉱物調達への取組み方針を定めていますか？</t>
  </si>
  <si>
    <t>Responda a las siguientes preguntas a nivel de la compañía</t>
  </si>
  <si>
    <t xml:space="preserve">A. Tienes una política implementada que incluya el suministro de minerales conflictivos? </t>
  </si>
  <si>
    <t>B. Esta política esta públicamente disponible en tu website?  ( Nota: si existe; el usuario debe especificar el URL en el campo de comentario.)</t>
  </si>
  <si>
    <t xml:space="preserve">E. Has implementado medidas de diligencia sobre el cuidado para abastecimiento libre de conflicto? </t>
  </si>
  <si>
    <t>H. Revisas la información de diligencia recibida de tus proveedores contra las expectativas de la compañía?</t>
  </si>
  <si>
    <t xml:space="preserve">J. Estas sujeto a la regla de  requerimiento  de la SEC? </t>
  </si>
  <si>
    <t>Si</t>
  </si>
  <si>
    <t>Desconocido</t>
  </si>
  <si>
    <t>Si, 100%</t>
  </si>
  <si>
    <t>No, pero mayor a 75%</t>
  </si>
  <si>
    <t>No, pero mayor a 50%</t>
  </si>
  <si>
    <t>No, pero mayor a 25%</t>
  </si>
  <si>
    <t>No, pero menor a 25%</t>
  </si>
  <si>
    <t>Ninguno</t>
  </si>
  <si>
    <t>Identificación anterior del fundidor</t>
  </si>
  <si>
    <t>Identificación nueva del fundidor</t>
  </si>
  <si>
    <t>Nombres estándar del fundidor</t>
  </si>
  <si>
    <t xml:space="preserve">Localización de la fabrica de fundición: País </t>
  </si>
  <si>
    <t>Nombre del fundidor (*)</t>
  </si>
  <si>
    <t>País del fundidor (*)</t>
  </si>
  <si>
    <t>Calle del fundidor (*)</t>
  </si>
  <si>
    <t>Ciudad del fundidor(*)</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</si>
  <si>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</si>
  <si>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</si>
  <si>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</si>
  <si>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</si>
  <si>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</si>
  <si>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</si>
  <si>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</si>
  <si>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</si>
  <si>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</si>
  <si>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</si>
  <si>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</si>
  <si>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</si>
  <si>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</si>
  <si>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</si>
  <si>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</si>
  <si>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</si>
  <si>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</si>
  <si>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</si>
  <si>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</si>
  <si>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</si>
  <si>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</si>
  <si>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</si>
  <si>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</si>
  <si>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</si>
  <si>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</si>
  <si>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</si>
  <si>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</si>
  <si>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</si>
  <si>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</si>
  <si>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</si>
  <si>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</si>
  <si>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Instruções para completar as questões de A. a J. (linhas 69-87). As questões de A a J são obrigatórias se a resposta às questões 1 ou 2 forme "Sim" para qualquer metal.
Fornecer respostas somente em INGLÊS.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</si>
  <si>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</si>
  <si>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A. Por Favor responder "Sim" ou "Não". Forneça comentários se necessário.</t>
  </si>
  <si>
    <t>B. Por Favor responder "Sim" ou "Não". Se "Sim", forneça o web link no campo de comentários.</t>
  </si>
  <si>
    <t>C. Por favor responder "Sim" ou "Não".  Forneça comentários se necessário. Ver aba das definições para a definição de "RDC Livre de Conflito".</t>
  </si>
  <si>
    <t>E. Por favor responder "Sim" ou "Não" para definir se a empresa implementou ou não medidas de diligência relativas à origem dos minerais de conflito. Esta declaração não pretende fornecer detalhes das medidas de diligência da empresa mas apenas confirmar que esta as implementou. Os aspetos de medidas de diligência aceitáveis devem ser determinadas pelo requisitante ou pelo fornecedor.
Exemplos de medidas de diligência podem incluir: Comunicação e inclusão nos contratos dos fornecedores (quando possível) das expectativas face a cadeia de fornecimento de minerais livres de conflito; Identificação e avaliação de risco na cadeia de fornecimento; Verificação do cumprimento dos fornecdores diretos com a sua  política Livre de Conflito RDC, etc. Estes exemplos de medidas de diligência são consistentes com as linhas de orientação incluídas no Guia OCDE internacionalmente reconhecido.</t>
  </si>
  <si>
    <t>G. Por favor responder " Sim" ou "Não". Fornecer comentários se necessário</t>
  </si>
  <si>
    <t>H. Por favor responder "Sim" ou "Não". No campo de comentários, pode fornecer informação adicional relativa à sua abordagem. Exemplos:
"Auditoria por terceiros" - Auditorias locais ao fornecedores  efetuadas por terceiros independentes.
" Revisão de Documentação" - Revisão dos registos e documentação submetida pelo fornecedor, conduzida por parte de terceiros independentes ou por profissionais da empresa.
"Auditoria Interna"- Auditorias locais aos fornecedores conduzidas por profissionais da empresa.</t>
  </si>
  <si>
    <t>I. Por favor responda "Sim" ou "Não". Se "Sim", por favor descreva como gere o processo de ação corretiva.</t>
  </si>
  <si>
    <t>J. Por favor responda "Sim" ou "Não". Os requisitos de divulgação de minerais de conflito da SEC aplicam-se a empresas negociadas na bolsa do EUA, sujeitas às leis de "Securities Exchange" dos EUA. Para mais informação consulte www.sec.gov.</t>
  </si>
  <si>
    <t>Instruções para completar a aba da Lista de Fundições.
Fornecer respostas somente em INGLÊS.</t>
  </si>
  <si>
    <t>Nota: Colunas com (*) são campos  de preenchimento obrigatórios.</t>
  </si>
  <si>
    <t>Este modelo permite a identificação de fundições utilizando a Lista de referência de fundições. As colunas B, C, D e E devem ser completadas por ordem da esquerda para a direita, utilizando os recursos da Lista de referência.
Utilize uma linha individual para cada combinação metal/fundição/ país.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</si>
  <si>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</si>
  <si>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A.  Por favor responda "Si" o "No". Proporcione cualquier comentario, si es necesario. </t>
  </si>
  <si>
    <t>B.  Por favor responda "Si" o "No", si es "Si" , proporcione la liga web en la sección de comentarios.</t>
  </si>
  <si>
    <t>C.  Por favor responda "Si" o "No". Proporcione cualquier comentario si es necesario. Vea la hoja de definiciones para la definición de " Libre de conflicto DRC"</t>
  </si>
  <si>
    <t>冶炼厂识别</t>
    <phoneticPr fontId="7" type="noConversion"/>
  </si>
  <si>
    <t>冶炼厂出处识别号</t>
    <phoneticPr fontId="7" type="noConversion"/>
  </si>
  <si>
    <t>在提交报告给客户检查本报告红色提示内容前， 请确保所有必填栏目已填写完成。</t>
    <phoneticPr fontId="7" type="noConversion"/>
  </si>
  <si>
    <t>待完成的必填栏目</t>
    <phoneticPr fontId="7" type="noConversion"/>
  </si>
  <si>
    <t>必填栏目</t>
    <phoneticPr fontId="7" type="noConversion"/>
  </si>
  <si>
    <t>已提供的答案</t>
    <phoneticPr fontId="7" type="noConversion"/>
  </si>
  <si>
    <t>备注</t>
    <phoneticPr fontId="7" type="noConversion"/>
  </si>
  <si>
    <t>信息源链接</t>
    <phoneticPr fontId="7" type="noConversion"/>
  </si>
  <si>
    <t xml:space="preserve">在“申报“工作表上选择报告层面为“产品 （或产品清单”项才必须完成此栏。 </t>
    <phoneticPr fontId="7" type="noConversion"/>
  </si>
  <si>
    <t>制造商产品名称</t>
    <phoneticPr fontId="7" type="noConversion"/>
  </si>
  <si>
    <t>注释</t>
    <phoneticPr fontId="7" type="noConversion"/>
  </si>
  <si>
    <r>
      <t>申报范围或种类 (</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</si>
  <si>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</si>
  <si>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</si>
  <si>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</si>
  <si>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</si>
  <si>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</si>
  <si>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</si>
  <si>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</si>
  <si>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</si>
  <si>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</si>
  <si>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</si>
  <si>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</si>
  <si>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</si>
  <si>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</si>
  <si>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</si>
  <si>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</si>
  <si>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</si>
  <si>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</si>
  <si>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</si>
  <si>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</si>
  <si>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</si>
  <si>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</si>
  <si>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</si>
  <si>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</si>
  <si>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3.  御社固有の識別番号又はコードを記入してください（DUNSナンバー、VATナンバー、顧客固有番号等）。</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</si>
  <si>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</si>
  <si>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</si>
  <si>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B.「Yes（はい）」又は「No（いいえ）」で回答し、「Yes（はい）」の場合はウェブサイトのリンクを備考欄に記入してください。</t>
  </si>
  <si>
    <t>C.「Yes（はい）」又は「No（いいえ）」でお答えください。必要に応じてコメントを記入してください。「DRCコンフリクトフリー」の定義は、「定義」シートを参照してください。</t>
  </si>
  <si>
    <t xml:space="preserve">E.紛争鉱物の調達に関するデューデリジェンス対策を実施しているかどうかを開示するため、「Yes（はい）」又は「No（いいえ）」でお答えください。この申告は、企業のデューデリジェンス対策の詳細を提供することを意図するのではなく、企業がデューデリジェンス対策を実施しているかどうかだけを確認しています。受諾できるデューデリジェンス対策の観点は、調査の依頼主とサプライヤーの間で決められるべきです。デューデリジェンス対策の例として次のようなものがあります。サプライヤーに、コンフリクトフリーな鉱物サプライチェーンに関する御社の期待を伝え（可能な場合には）契約に盛り込む；サプライチェーンのリスクを識別し評価する；識別されたリスクに対応する戦略を立案し実行する；一次サプライヤーがDRCコンフリクトフリー方針を順守しているかどうかを検証する。こうしたデューデリジェンス対策の例は、国際的に認められたOECDガイダンスに規定されたガイドラインと一致しています。
</t>
  </si>
  <si>
    <t>H.「Yes（はい）」又は「No（いいえ）」でお答えください。コメント欄に、御社のアプローチに関する追加情報を提供できます。その例には、次のようなものがあります。
「第三者監査」--独立第三者機関が実施するサプライヤーの現地監査を意味します。
「書類審査のみ」--独立第三者及び御社の社員、又はそのいずれかが実施する、サプライヤーが提出した記録及び文書の監査を意味します。
「内部監査」--御社の社員が実施する、サプライヤーの現地監査を意味します。</t>
  </si>
  <si>
    <t>15.製錬業者の原材料はすべてリサイクル業者又はスクラップサプライヤーから調達されていますか？　－　製錬加工のために材料をリサイクル業者又はスクラップサプライヤーからのみ調達している場合は「Yes（はい）」と回答してください。そうでない場合は「No（いいえ）」と回答してください。</t>
  </si>
  <si>
    <t>この申告に適用される製品は製品一覧表(Product List)のシートに移動して入力</t>
  </si>
  <si>
    <t>B.その方針は御社のホームページで閲覧できますか？（回答が「はい」の場合、その方針が掲載されているURLをコメント欄に記入する）</t>
  </si>
  <si>
    <t>C.一次サプライヤーに対してDRCコンフリクトフリーであることを要求していますか？</t>
  </si>
  <si>
    <t>E.コンフリクトフリーな鉱物調達のためのデューデリジェンス対策を実施していますか？</t>
  </si>
  <si>
    <t>H.サプライヤーからのデューデリジェンス情報を、御社の期待を基に検証していますか？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</si>
  <si>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</si>
  <si>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</si>
  <si>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</si>
  <si>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</si>
  <si>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</si>
  <si>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</si>
  <si>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</si>
  <si>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</si>
  <si>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</si>
  <si>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</si>
  <si>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</si>
  <si>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</si>
  <si>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</si>
  <si>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</si>
  <si>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</si>
  <si>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</si>
  <si>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</si>
  <si>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</si>
  <si>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</si>
  <si>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</si>
  <si>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</si>
  <si>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</si>
  <si>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</si>
  <si>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</si>
  <si>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</si>
  <si>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</si>
  <si>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</si>
  <si>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</si>
  <si>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</si>
  <si>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</si>
  <si>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</si>
  <si>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</si>
  <si>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</si>
  <si>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</si>
  <si>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</si>
  <si>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</si>
  <si>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</si>
  <si>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</si>
  <si>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</si>
  <si>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</si>
  <si>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</si>
  <si>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</si>
  <si>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</si>
  <si>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</si>
  <si>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</si>
  <si>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</si>
  <si>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</si>
  <si>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</si>
  <si>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</si>
  <si>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</si>
  <si>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</si>
  <si>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</si>
  <si>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</si>
  <si>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</si>
  <si>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</si>
  <si>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</si>
  <si>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</si>
  <si>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</si>
  <si>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</si>
  <si>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</si>
  <si>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</si>
  <si>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</si>
  <si>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</si>
  <si>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</si>
  <si>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</si>
  <si>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</si>
  <si>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</si>
  <si>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</si>
  <si>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</si>
  <si>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</si>
  <si>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</si>
  <si>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</si>
  <si>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</si>
  <si>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</si>
  <si>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</si>
  <si>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</si>
  <si>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</si>
  <si>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</si>
  <si>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</si>
  <si>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</si>
  <si>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</si>
  <si>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</si>
  <si>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</si>
  <si>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</si>
  <si>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</si>
  <si>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</si>
  <si>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</si>
  <si>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</si>
  <si>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</si>
  <si>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</si>
  <si>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G. 調達元の製錬業者名を明らかにするようサプライヤーに要請していますか？</t>
  </si>
  <si>
    <t>I. 御社の検証プロセスには是正措置管理が含まれていますか？</t>
  </si>
  <si>
    <t>J. 御社は米国証券取引委員会の紛争鉱物開示規則の対象になっていますか？</t>
  </si>
  <si>
    <t>はい</t>
  </si>
  <si>
    <t>いいえ</t>
  </si>
  <si>
    <t>不明</t>
  </si>
  <si>
    <t>はい、100％</t>
  </si>
  <si>
    <t>いいえ、しかし75％以上</t>
  </si>
  <si>
    <t>いいえ、しかし50％以上</t>
  </si>
  <si>
    <t>いいえ、しかし25％以上</t>
  </si>
  <si>
    <t>いいえ、しかし25％未満</t>
  </si>
  <si>
    <t>ゼロ</t>
  </si>
  <si>
    <t>製錬業者名（*）</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</si>
  <si>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</si>
  <si>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</si>
  <si>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</si>
  <si>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</si>
  <si>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</si>
  <si>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</si>
  <si>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</si>
  <si>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</si>
  <si>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製錬業者の材料はすべてリサイクル業者又はスクラップサプライヤーから調達されていますか？</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</si>
  <si>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</si>
  <si>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</si>
  <si>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</si>
  <si>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</si>
  <si>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</si>
  <si>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旧製錬業者識別番号</t>
  </si>
  <si>
    <t>新製錬業者識別番号</t>
  </si>
  <si>
    <t>CFSI 웹사이트:  (www.conflictfreesourcing.org) 교육훈련과 가이던스, 템플릿, 분쟁으로부터 자유로운 제련소 리스트를 (Conflict-Free Smelter Program compliant smelter list) 확인할 수 있습니다.</t>
    <phoneticPr fontId="10" type="noConversion"/>
  </si>
  <si>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</si>
  <si>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</si>
  <si>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</si>
  <si>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10"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</si>
  <si>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</si>
  <si>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</si>
  <si>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</si>
  <si>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</si>
  <si>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</si>
  <si>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</si>
  <si>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</si>
  <si>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몇몇 회사는 "Comment Field"(주석란)에 들어가야 하는 "No"란 답변의 입증을 요구할 수 있읍니다.</t>
    <phoneticPr fontId="10" type="noConversion"/>
  </si>
  <si>
    <t>A ~ J 질문 답변 안내서(69~87줄).  어떤 광물에 대한 질문1 또는 질문2의 응답이 하나라도 "Yes"일 경우, A ~ J 질문 답변은 필수입니다.
답변은 반드시 영어로 기입해야 합니다.</t>
    <phoneticPr fontId="10"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</si>
  <si>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</si>
  <si>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 xml:space="preserve">A.  "Yes=예" 또는 No=아니오"로 답하시오. 추가 답변이 필요할 경우 코멘트 섹션에 작성하시오.  </t>
  </si>
  <si>
    <t xml:space="preserve">C.  "Yes=예" 또는 "No=아니오"로 답하시오.. 추가 답변이 필요한 경우 작성하시오.  "DRC Conflict Free"의 정의는 Definitions (정의) 워크 시트를 참조하십시오. </t>
  </si>
  <si>
    <t>H. "Yes" 또는 "No"로 답하시오. 주석란에서 귀사는 귀사의 방식에 대해 추가 정보를 제공할 수 있읍니다. 예를 들어:
 “제3자 감사” - 독립된 제3자에 의해 행해지는 귀사의 공급자에 대한 현장 감사.  
 “문서 검토만” - 독립된 제3자 및/또는 귀사의 인력에 의해 행해지는 공급자 제공 기록과 문서의 검토.    
 “내부 감사” - 귀사의 인력에 의해 행해지는 귀사 공급자에 대한 현장 감사.</t>
  </si>
  <si>
    <t>15. 제련소 원료가 100% 모두 재활용이나 폐품에서 나오나요? 만일 제련소가 제련과정의 투입물 모두를 재활용이나 폐품에서 얻는다면 "Yes"로 답하시오. 그렇지 않으면 "No"로 답하시오.</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</si>
  <si>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</si>
  <si>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</si>
  <si>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</si>
  <si>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적용 국가(들)  Covered Country(ies)</t>
  </si>
  <si>
    <t>금 (Au) 정련소 (제련소) Gold (Au) Refiner (Smelter)</t>
  </si>
  <si>
    <t>독립적인 민간부분 감사 기관</t>
    <phoneticPr fontId="10" type="noConversion"/>
  </si>
  <si>
    <t>의도적 추가</t>
  </si>
  <si>
    <t>IPC-1755 분쟁광물 데이터 교환 기준</t>
  </si>
  <si>
    <t>제품의 기능성을 위해 필요한</t>
    <phoneticPr fontId="10" type="noConversion"/>
  </si>
  <si>
    <t>제품의 생산을 위해 필요한</t>
    <phoneticPr fontId="10"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</si>
  <si>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</si>
  <si>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</si>
  <si>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</si>
  <si>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</si>
  <si>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</si>
  <si>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</si>
  <si>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</si>
  <si>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</si>
  <si>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10"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</si>
  <si>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</si>
  <si>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</si>
  <si>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10" type="noConversion"/>
  </si>
  <si>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</si>
  <si>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</si>
  <si>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</si>
  <si>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</si>
  <si>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</si>
  <si>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</si>
  <si>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</si>
  <si>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</si>
  <si>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</si>
  <si>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</si>
  <si>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</si>
  <si>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</si>
  <si>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A. Avez-vous une politique en place sur l'approvisionnement des minerais de conflit ? </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</si>
  <si>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</si>
  <si>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</si>
  <si>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</si>
  <si>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 xml:space="preserve">H. Vérifiez-vous les informations de devoir de diligence reçues de vos fournisseurs par rapport aux attentes de votre entreprise? </t>
  </si>
  <si>
    <t>Oui</t>
  </si>
  <si>
    <t>Inconnu</t>
  </si>
  <si>
    <t>Oui, 100%</t>
  </si>
  <si>
    <t>Non, mais supérieur à 75%</t>
  </si>
  <si>
    <t>Non, mais supérieur à 50%</t>
  </si>
  <si>
    <t>Non, mais supérieur à 25%</t>
  </si>
  <si>
    <t>Non, mais inférieur à 25%</t>
  </si>
  <si>
    <t>Aucun</t>
  </si>
  <si>
    <t>Identifiant de la fonderie</t>
  </si>
  <si>
    <t>Noms standard des fonderies</t>
  </si>
  <si>
    <t>Alias connus</t>
  </si>
  <si>
    <t xml:space="preserve">Localisation de la fonderie : pays </t>
  </si>
  <si>
    <t>Nom de la fonderie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</si>
  <si>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</si>
  <si>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</si>
  <si>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</si>
  <si>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</si>
  <si>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</si>
  <si>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</si>
  <si>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</si>
  <si>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</si>
  <si>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H. Merci de répondre par "Oui" ou par "Non". Vous pouvez fournir des informations supplémentaires sur votre approche  dans le champ de commentaires. Par exemple:
  "Audit tierce partie" - audits sur site de vos fournisseurs  réalisés par des tiers indépendants.
  "Analyse documentaire seulement" - analyse des dossiers et documents remis par le fournisseur et réalisés par des tiers indépendants et, ou le personnel de votre entreprise.
  "Audit interne" -audits sur site de vos fournisseurs réalisés par le personnel de votre entreprise.</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</si>
  <si>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</si>
  <si>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t>Ganzhou Seadragon W &amp; Mo Co., Ltd.</t>
  </si>
  <si>
    <t>CID002494</t>
  </si>
  <si>
    <t>Hangzhou Fuchunjiang Smelting Co., Ltd.</t>
  </si>
  <si>
    <t>CID000671</t>
  </si>
  <si>
    <t>CID002492</t>
  </si>
  <si>
    <t>Eco-System Recycling Co., Ltd.</t>
  </si>
  <si>
    <t>CID000425</t>
  </si>
  <si>
    <t>Website  de CFSI: (www.conflictfreesourcing.org)  entrenamiento y guía, templete,  programa de fundidores sin conflicto lista de fundidores en cumplimiento.</t>
  </si>
  <si>
    <t>Introducción</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</si>
  <si>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</si>
  <si>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</si>
  <si>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</si>
  <si>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</si>
  <si>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</si>
  <si>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</si>
  <si>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</si>
  <si>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</si>
  <si>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</si>
  <si>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</si>
  <si>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</si>
  <si>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</si>
  <si>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Instrucciones para completar las preguntas A.-J. (renglones 69-87). Preguntas de la A a la J son obligatorias. Si la respuesta a la pregunta 1 o 2 es "Si" para cualquier metal.  Proporciones las respuestas en INGLES solamente.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</si>
  <si>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7"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</si>
  <si>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7"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</si>
  <si>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</si>
  <si>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</si>
  <si>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</si>
  <si>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7"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</si>
  <si>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</si>
  <si>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7"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</si>
  <si>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7"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</si>
  <si>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</si>
  <si>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</si>
  <si>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</si>
  <si>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7" type="noConversion"/>
  </si>
  <si>
    <t>范围描述：</t>
  </si>
  <si>
    <t>转到产品目录表输入所需申报的所有产品</t>
    <phoneticPr fontId="7" type="noConversion"/>
  </si>
  <si>
    <t xml:space="preserve">公司唯一识别信息： </t>
    <phoneticPr fontId="7" type="noConversion"/>
  </si>
  <si>
    <t>公司唯一授权识别信息：</t>
    <phoneticPr fontId="7" type="noConversion"/>
  </si>
  <si>
    <t>地址：</t>
    <phoneticPr fontId="7" type="noConversion"/>
  </si>
  <si>
    <t>根据上述申报范围回答以下1-7道问题</t>
    <phoneticPr fontId="7" type="noConversion"/>
  </si>
  <si>
    <t>以公司层面来回答以下问题</t>
    <phoneticPr fontId="7" type="noConversion"/>
  </si>
  <si>
    <t xml:space="preserve">C.您是否要求你的直接供应商不使用来自刚果民主共和国冲突矿产？ </t>
  </si>
  <si>
    <t>E.您是否曾对无冲突矿产原产地进行审核鉴定？</t>
  </si>
  <si>
    <t xml:space="preserve">H.您是否有验证您的供应商所提交的审核鉴定信息符合贵公司的期望？ </t>
    <phoneticPr fontId="7" type="noConversion"/>
  </si>
  <si>
    <t>I.您的验证程序是否有包括纠正措施管理？</t>
    <phoneticPr fontId="7" type="noConversion"/>
  </si>
  <si>
    <t xml:space="preserve">J.您是否服从于美国证券交易委员会所公布的规定？ </t>
    <phoneticPr fontId="7" type="noConversion"/>
  </si>
  <si>
    <t>注释和附件</t>
    <phoneticPr fontId="7" type="noConversion"/>
  </si>
  <si>
    <t>是</t>
    <phoneticPr fontId="7" type="noConversion"/>
  </si>
  <si>
    <t>否</t>
    <phoneticPr fontId="7" type="noConversion"/>
  </si>
  <si>
    <t>不知道</t>
    <phoneticPr fontId="7" type="noConversion"/>
  </si>
  <si>
    <t>是，全部100%</t>
    <phoneticPr fontId="7" type="noConversion"/>
  </si>
  <si>
    <t>否，但超过50%</t>
    <phoneticPr fontId="7" type="noConversion"/>
  </si>
  <si>
    <t>否，但超过25%</t>
    <phoneticPr fontId="7" type="noConversion"/>
  </si>
  <si>
    <t>否，但少于25%</t>
    <phoneticPr fontId="7" type="noConversion"/>
  </si>
  <si>
    <t>完全没有</t>
    <phoneticPr fontId="7" type="noConversion"/>
  </si>
  <si>
    <t>新用冶炼厂识别信息</t>
    <phoneticPr fontId="7" type="noConversion"/>
  </si>
  <si>
    <t>冶炼厂联系名称</t>
    <phoneticPr fontId="7" type="noConversion"/>
  </si>
  <si>
    <t>冶炼厂联系电邮地址</t>
    <phoneticPr fontId="7" type="noConversion"/>
  </si>
  <si>
    <t>建议的后续步骤</t>
    <phoneticPr fontId="7"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</si>
  <si>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</si>
  <si>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</si>
  <si>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7"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</si>
  <si>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</si>
  <si>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</si>
  <si>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</si>
  <si>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</si>
  <si>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</si>
  <si>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</si>
  <si>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</si>
  <si>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</si>
  <si>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</si>
  <si>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Instructions for completing the seven Due Diligence Questions (rows 24 - 65).
Provide answers in ENGLISH only</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</si>
  <si>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</si>
  <si>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</si>
  <si>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</si>
  <si>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</si>
  <si>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</si>
  <si>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</si>
  <si>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</si>
  <si>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</si>
  <si>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Instructions for completing Questions A. – J. (rows 69 - 87).  Questions A. through J. are mandatory if the response to Question 1 or 2 is “Yes” for any metal.
Provide answers in ENGLISH only</t>
  </si>
  <si>
    <t>A40</t>
  </si>
  <si>
    <t>J. Please answer “Yes” or “No”.  The SEC conflict minerals disclosure requirements apply to US exchange-traded companies that are subject to the US Securities Exchange Act. For more information please refer to www.sec.gov.</t>
  </si>
  <si>
    <t>I. Please answer “Yes” or “No”.  If “Yes”, please describe how you manage your corrective action process.</t>
  </si>
  <si>
    <t>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t>
  </si>
  <si>
    <t>G. Please answer “Yes” or “No”.  Provide any comments, if necessary.</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</si>
  <si>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</si>
  <si>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B. Please answer “Yes” or “No” If “Yes”, provide the web link in the comments section.</t>
  </si>
  <si>
    <t xml:space="preserve">A. Please answer “Yes” or “No”.  Provide any comments, if necessary. </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</si>
  <si>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</si>
  <si>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</si>
  <si>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</si>
  <si>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</si>
  <si>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</si>
  <si>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</si>
  <si>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</si>
  <si>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</si>
  <si>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</si>
  <si>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</si>
  <si>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</si>
  <si>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</si>
  <si>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répondre aux questions A. - J. (lignes 69-87). Les questions A. à J. sont obligatoires pour un métal spécifique  si la réponse à la question 1 ou 2 est "Oui" pour le métal considéré.
Merci de répondre en ANGLAIS uniquement.</t>
  </si>
  <si>
    <t xml:space="preserve">
C. Merci de répondre par "Oui" ou par "Non". Commenter si nécessaire. Voir la feuille de calcul 'Definitions' pour la définition de "RDC sans conflit".</t>
  </si>
  <si>
    <t>E. Merci de répondre «Oui» ou «Non» pour indiquer si votre entreprise a mis en place un devoir de diligence pour l'approvisionnement de minerais provenant de zones de conflit
ou à haut risque. Cette déclaration ne vise pas à fournir les détails du devoir de diligence de votre entreprise, mais juste à définir si l'entreprise a mis en œuvre ce devoir de diligence. L'acceptabilité des mesures du devoir de diligence doit être définie par le demandeur et le fournisseur.
Exemples de mesures concernant le devoir de diligence: la communication aux fournisseurs et l'insertion dans les contratsde vos attentes  en matière de métaux sans conflit  (si possible); l'identification et l'évaluation des risques dans la chaîne d'approvisionnement; la définition et la mise en œuvre d'une stratégie pour répondre aux risques identifiés; vérifier la conformité de vos fournisseurs vis à vis de leurs politiques de minerais sans conflit, etc. Ces exemples de mesures de devoir de diligence sont conformes avec les recommandations figurant dans le Guide de l'OCDE.</t>
  </si>
  <si>
    <t>I. Merci de répondre par "Oui" ou par "Non". Si "Oui", merci de décrire comment vous gérez votre processus d'actions correctives.</t>
  </si>
  <si>
    <t>J. Merci de répondre par "Oui" ou par "Non". Les exigences de communication de la SEC s’appliquent aux entreprises côtées en bourse aux Etats-Unis qui sont sujettes à l’US Securities Exchange Act. Pour plus d'informations, merci de vous référer à www.sec.gov</t>
  </si>
  <si>
    <t>Instructions pour compléter la liste des fonderies
Merci de répondre en ANGLAIS uniquement</t>
  </si>
  <si>
    <t>Remarque: Les colonnes avec un astérisque (*) indiquent des champs obligatoires</t>
  </si>
  <si>
    <t>Ce formulaire permet d'identifier les fonderies en utilisant la liste des fonderies identifiées. Les colonnes B, C, D et E doivent être remplies dans l'ordre de gauche à droite pour utiliser la fonction de liste des fonderies identifiées.
 Utilisez une ligne distincte pour chaque combinaison métal / fonderie / pays</t>
  </si>
  <si>
    <t>15. Est-ce que 100% des produits utilisés par la fonderie proviennent de fournisseurs de produits recyclés, rebuts de production ou déchets de consommation? - Merci répondre "Yes" si la fonderie utilise uniquement des produits recyclés, rebuts de production ou déchets de consommation pour le processus de fusion. Sinon, répondre "No".</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</si>
  <si>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</si>
  <si>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</si>
  <si>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</si>
  <si>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</si>
  <si>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</si>
  <si>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</si>
  <si>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</si>
  <si>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</si>
  <si>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</si>
  <si>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</si>
  <si>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</si>
  <si>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</si>
  <si>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</si>
  <si>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</si>
  <si>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</si>
  <si>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</si>
  <si>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</si>
  <si>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</si>
  <si>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</si>
  <si>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</si>
  <si>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</si>
  <si>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</si>
  <si>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</si>
  <si>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</si>
  <si>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</si>
  <si>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</si>
  <si>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</si>
  <si>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</si>
  <si>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</si>
  <si>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</si>
  <si>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31"/>
  </si>
  <si>
    <t xml:space="preserve">
</t>
    <phoneticPr fontId="31"/>
  </si>
  <si>
    <t xml:space="preserve">
</t>
    <phoneticPr fontId="6"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</si>
  <si>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</si>
  <si>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</si>
  <si>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</si>
  <si>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</si>
  <si>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</si>
  <si>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</si>
  <si>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</si>
  <si>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</si>
  <si>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</si>
  <si>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</si>
  <si>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</si>
  <si>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</si>
  <si>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</si>
  <si>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</si>
  <si>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</si>
  <si>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</si>
  <si>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Lista dei riferimenti della fonderia</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</si>
  <si>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</si>
  <si>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</si>
  <si>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</si>
  <si>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</si>
  <si>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</si>
  <si>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</si>
  <si>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</si>
  <si>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</si>
  <si>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</si>
  <si>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</si>
  <si>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</si>
  <si>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</si>
  <si>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</si>
  <si>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Name (*)</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</si>
  <si>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</si>
  <si>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</si>
  <si>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</si>
  <si>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</si>
  <si>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</si>
  <si>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</si>
  <si>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</si>
  <si>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</si>
  <si>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</si>
  <si>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</si>
  <si>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</si>
  <si>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</si>
  <si>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</si>
  <si>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</si>
  <si>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</si>
  <si>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</si>
  <si>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</si>
  <si>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B87</t>
  </si>
  <si>
    <t>General</t>
  </si>
  <si>
    <t>Cpy</t>
  </si>
  <si>
    <t>Yes</t>
  </si>
  <si>
    <t>No</t>
  </si>
  <si>
    <t>Unknown</t>
  </si>
  <si>
    <t>Yes, 100%</t>
  </si>
  <si>
    <t xml:space="preserve">No, but greater than 75% </t>
  </si>
  <si>
    <t>No, but greater than 50%</t>
  </si>
  <si>
    <t>No, but greater than 25%</t>
  </si>
  <si>
    <t>None</t>
  </si>
  <si>
    <t>No, but less than 25%</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</si>
  <si>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</si>
  <si>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</si>
  <si>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</si>
  <si>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</si>
  <si>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</si>
  <si>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</si>
  <si>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</si>
  <si>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</si>
  <si>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</si>
  <si>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</si>
  <si>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</si>
  <si>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</si>
  <si>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</si>
  <si>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</si>
  <si>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t>
  </si>
  <si>
    <t>Description of Scope:</t>
  </si>
  <si>
    <t>Description of Scope: (*)</t>
  </si>
  <si>
    <t>Go to Product List tab to enter products this declaration applies to</t>
  </si>
  <si>
    <t>B10</t>
    <phoneticPr fontId="31"/>
  </si>
  <si>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</si>
  <si>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</si>
  <si>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</si>
  <si>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</si>
  <si>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</si>
  <si>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</si>
  <si>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31"/>
  </si>
  <si>
    <t>B27</t>
    <phoneticPr fontId="31"/>
  </si>
  <si>
    <t>B28</t>
    <phoneticPr fontId="31"/>
  </si>
  <si>
    <t>B29</t>
    <phoneticPr fontId="31"/>
  </si>
  <si>
    <t>B38</t>
    <phoneticPr fontId="31"/>
  </si>
  <si>
    <t>B39</t>
  </si>
  <si>
    <t>B40</t>
  </si>
  <si>
    <t>B41</t>
  </si>
  <si>
    <t>D25</t>
    <phoneticPr fontId="31"/>
  </si>
  <si>
    <t>G25</t>
    <phoneticPr fontId="31"/>
  </si>
  <si>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</si>
  <si>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31"/>
  </si>
  <si>
    <t>necessary?</t>
    <phoneticPr fontId="31"/>
  </si>
  <si>
    <t>incomplete</t>
    <phoneticPr fontId="31"/>
  </si>
  <si>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</si>
  <si>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</si>
  <si>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</si>
  <si>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</si>
  <si>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</si>
  <si>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</si>
  <si>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</si>
  <si>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</si>
  <si>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</si>
  <si>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</si>
  <si>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</si>
  <si>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</si>
  <si>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</si>
  <si>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</si>
  <si>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10" type="noConversion"/>
  </si>
  <si>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</si>
  <si>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</si>
  <si>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</si>
  <si>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</si>
  <si>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10"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</si>
  <si>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10"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</si>
  <si>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10"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</si>
  <si>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10"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</si>
  <si>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10"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</si>
  <si>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10"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</si>
  <si>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10"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</si>
  <si>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</si>
  <si>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</si>
  <si>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</si>
  <si>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</si>
  <si>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</si>
  <si>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</si>
  <si>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</si>
  <si>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</si>
  <si>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</si>
  <si>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</si>
  <si>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</si>
  <si>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</si>
  <si>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</si>
  <si>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</si>
  <si>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</si>
  <si>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 xml:space="preserve">G. 귀사는 협력사에게 제련소명을 제출하도록 요구하고 있습니까? </t>
  </si>
  <si>
    <t>H. 귀사는 협력사로부터 받은 실사 정보를 귀사의 기대에 준하여 검토 하십니까?</t>
  </si>
  <si>
    <t xml:space="preserve">I. 귀사의 정보 검토 프로세스는 개선 조치 관리를 포함하고 있습니까? </t>
  </si>
  <si>
    <t>예</t>
  </si>
  <si>
    <t>아니오</t>
  </si>
  <si>
    <t>파악되지 않음</t>
  </si>
  <si>
    <t>예, 100%</t>
  </si>
  <si>
    <t>아니오, 하지만 75% 이상</t>
  </si>
  <si>
    <t>아니오, 하지만 50% 이상</t>
  </si>
  <si>
    <t>아니오, 하지만 25% 이상</t>
  </si>
  <si>
    <t>아니오, 하지만 25% 미만</t>
  </si>
  <si>
    <t>없음</t>
  </si>
  <si>
    <t>제련소 이름  (*)</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</si>
  <si>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</si>
  <si>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</si>
  <si>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</si>
  <si>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</si>
  <si>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</si>
  <si>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</si>
  <si>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</si>
  <si>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</si>
  <si>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</si>
  <si>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</si>
  <si>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</si>
  <si>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</si>
  <si>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</si>
  <si>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구 제련소 ID</t>
  </si>
  <si>
    <t>신  제련소 ID</t>
  </si>
  <si>
    <t>CFSI 网址：（www.conflictfreesourcing.org) 培训，指引，报告模板，无冲突矿产达标冶炼厂名单。</t>
  </si>
  <si>
    <t>介绍</t>
    <phoneticPr fontId="7" type="noConversion"/>
  </si>
  <si>
    <t>公司资料填写说明（第8-22行）。只限英文作答</t>
  </si>
  <si>
    <t>注：带星号（*）的栏目必须填写</t>
    <phoneticPr fontId="7" type="noConversion"/>
  </si>
  <si>
    <t>3.输入贵公司的唯一识别序号或编号（DUNS号码，VAT号码，客户特定识别码等）</t>
    <phoneticPr fontId="7" type="noConversion"/>
  </si>
  <si>
    <t>4. 输入唯一识别序号或编号的出处 （如“DUNS”，“VAT”，“客户”等）</t>
    <phoneticPr fontId="7" type="noConversion"/>
  </si>
  <si>
    <t xml:space="preserve">5. 输入贵公司完整的地址（街道，地区，城市，国家，邮区编号）。 此栏自由选择填写。 </t>
    <phoneticPr fontId="7" type="noConversion"/>
  </si>
  <si>
    <t xml:space="preserve">6. 输入对此申报内容负责的联系人姓名。此栏必须填写。 </t>
    <phoneticPr fontId="7" type="noConversion"/>
  </si>
  <si>
    <t>7. 输入联系人电邮地址。 如果无电邮地址，请声明“无”或“不适用”。 留空此栏将会导致此报告填写出错失效。 此栏必须填写。</t>
    <phoneticPr fontId="7" type="noConversion"/>
  </si>
  <si>
    <t>8. 输入联系电话号码。 此栏必须填写。</t>
    <phoneticPr fontId="7"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</si>
  <si>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</si>
  <si>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</si>
  <si>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13. 请用“日-月-年”格式填写申报日期。 此栏必须填写。</t>
    <phoneticPr fontId="7" type="noConversion"/>
  </si>
  <si>
    <t>14. 申报人应按“公司名-年月日.xls”格式来命名并存档本报告。（日期格式为年-月-日）</t>
  </si>
  <si>
    <t xml:space="preserve">当回答是"不"时, 有些公司需要进一步求证，请在注释栏中说明。 </t>
  </si>
  <si>
    <t>问题A-问题J的填写说明（第69-87行）。如果对问题1或问题2就某种金属的答复是 “是”时， 问题A-问题J就必须作答。问题只限英文作答</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</si>
  <si>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7" type="noConversion"/>
  </si>
  <si>
    <t>A. 请回答是(Yes)或不是(No)。如需要可加注释。</t>
    <phoneticPr fontId="7" type="noConversion"/>
  </si>
  <si>
    <t>B. 请回答是(Yes)或不是(No)，如果回答是（Yes）请在注释栏位内提供网址链接。</t>
    <phoneticPr fontId="7" type="noConversion"/>
  </si>
  <si>
    <t xml:space="preserve">C. 请回答是(Yes)或不是(No)。如有需要，请提建议。 请查阅定义表以了解“无刚果民主共和国的冲突”的定义。 </t>
    <phoneticPr fontId="7" type="noConversion"/>
  </si>
  <si>
    <t>G. 请回答是(Yes)或不是(No)。如有需要，请提建议</t>
    <phoneticPr fontId="7" type="noConversion"/>
  </si>
  <si>
    <t>I. 请回答是(Yes)或不是(No)。如回答“是（Yes）”，则请说明贵公司是如何实施纠正措施流程。</t>
    <phoneticPr fontId="7" type="noConversion"/>
  </si>
  <si>
    <t>J.请回答是(Yes)或不是(No)。美国证券交易委员会揭发冲突矿产的要求适用于所有遵循美国证券交易法的在美国证券交易所上市的公司。欲了解更多信息，请参阅www.sec.gov。</t>
    <phoneticPr fontId="7" type="noConversion"/>
  </si>
  <si>
    <t>冶炼厂名单工作表的填写说明。只限英文作答</t>
    <phoneticPr fontId="7" type="noConversion"/>
  </si>
  <si>
    <t>注：带星号（*）列表示此区域必须填写。</t>
    <phoneticPr fontId="7" type="noConversion"/>
  </si>
  <si>
    <t xml:space="preserve">此模板允许使用冶炼厂参考名单查询冶炼厂识别号码。 利用冶炼厂参考名单的功能，从左到右填写列B,C,D和E。                           每种金属、冶炼厂、国家联合需单独一行表示。 </t>
    <phoneticPr fontId="7" type="noConversion"/>
  </si>
  <si>
    <t xml:space="preserve">15. 冶炼厂用的原料100%全部来自回收料或报废料吗？ - 若冶炼厂仅使用回收料或报废料作为提炼原料而没有使用其它物料则答“是（Yes）”， 否则答“不是（No）”。 </t>
    <phoneticPr fontId="7"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</si>
  <si>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</si>
  <si>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</si>
  <si>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7"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</si>
  <si>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7"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</si>
  <si>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7" type="noConversion"/>
  </si>
  <si>
    <t>如果此条款及细则的某个条款部分在法律下无效或不可执行，被视为无效的部分应仅限于该无效或不能强制执行的部份，这将不以任何方式影响到条款及细则的其余条款。</t>
    <phoneticPr fontId="7" type="noConversion"/>
  </si>
  <si>
    <t>3TG是钽（Tantalum)，锡(Tin)，钨(Tungsten)，金（Glod)的缩写</t>
  </si>
  <si>
    <t>授权人</t>
    <phoneticPr fontId="7" type="noConversion"/>
  </si>
  <si>
    <t>不使用冲突矿产冶炼厂计划中的合规冶炼厂目录</t>
  </si>
  <si>
    <t>不使用冲突矿产冶炼厂计划（CFSP）</t>
  </si>
  <si>
    <t>不使用冲突矿产采购倡议</t>
  </si>
  <si>
    <t xml:space="preserve">冲突矿产 </t>
  </si>
  <si>
    <t>例举的国家</t>
    <phoneticPr fontId="7" type="noConversion"/>
  </si>
  <si>
    <t xml:space="preserve">申报范围或种类 </t>
    <phoneticPr fontId="7" type="noConversion"/>
  </si>
  <si>
    <t>多德-弗兰克</t>
    <phoneticPr fontId="7" type="noConversion"/>
  </si>
  <si>
    <t>刚果民主共和国</t>
    <phoneticPr fontId="7" type="noConversion"/>
  </si>
  <si>
    <t>刚果民主共和国无冲突矿产</t>
  </si>
  <si>
    <t>全球电子可持续发展倡议组织</t>
    <phoneticPr fontId="7" type="noConversion"/>
  </si>
  <si>
    <t>独立的私营审核机构</t>
    <phoneticPr fontId="7" type="noConversion"/>
  </si>
  <si>
    <t>有目的添加</t>
    <phoneticPr fontId="7" type="noConversion"/>
  </si>
  <si>
    <t>IPC</t>
    <phoneticPr fontId="7" type="noConversion"/>
  </si>
  <si>
    <t>IPC-1755冲突矿产数据交换标准</t>
  </si>
  <si>
    <t>产品功能需要</t>
    <phoneticPr fontId="7" type="noConversion"/>
  </si>
  <si>
    <t>产品生产需要</t>
    <phoneticPr fontId="7" type="noConversion"/>
  </si>
  <si>
    <t>组织经济合作与发展</t>
    <phoneticPr fontId="7" type="noConversion"/>
  </si>
  <si>
    <t>回收或废料源</t>
    <phoneticPr fontId="7" type="noConversion"/>
  </si>
  <si>
    <t>冶炼厂识别序号</t>
    <phoneticPr fontId="7" type="noConversion"/>
  </si>
  <si>
    <t>钽（Ta)冶炼厂</t>
    <phoneticPr fontId="7" type="noConversion"/>
  </si>
  <si>
    <t>锡（Sn)冶炼厂</t>
    <phoneticPr fontId="7" type="noConversion"/>
  </si>
  <si>
    <t>钨（W)冶炼厂</t>
    <phoneticPr fontId="7" type="noConversion"/>
  </si>
  <si>
    <t>定义</t>
    <phoneticPr fontId="7" type="noConversion"/>
  </si>
  <si>
    <t>钽,锡,钨,金</t>
    <phoneticPr fontId="7" type="noConversion"/>
  </si>
  <si>
    <t xml:space="preserve">此栏目定义对申报内容负责的责任人.授权人可能与申报内容责任人不一致，故不能填写“相同一样”, 需提供授权人的姓名。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</si>
  <si>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</si>
  <si>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</si>
  <si>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</si>
  <si>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7"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</si>
  <si>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7" type="noConversion"/>
  </si>
  <si>
    <t>2010年美国通过立法《多德—弗兰克华尔街金融改革与消费者保护法》第1502 （简称“多德—弗兰克”）                                  (http://www.sec.gov/about/laws/wallstreetreform-cpa.pdf)</t>
    <phoneticPr fontId="7"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</si>
  <si>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7"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</si>
  <si>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</si>
  <si>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</si>
  <si>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</si>
  <si>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</si>
  <si>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</si>
  <si>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</si>
  <si>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</si>
  <si>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</si>
  <si>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</si>
  <si>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</si>
  <si>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</si>
  <si>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</si>
  <si>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</si>
  <si>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</si>
  <si>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</si>
  <si>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</si>
  <si>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</si>
  <si>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</si>
  <si>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</si>
  <si>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</si>
  <si>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</si>
  <si>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</si>
  <si>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</si>
  <si>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</si>
  <si>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</si>
  <si>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</si>
  <si>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</si>
  <si>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</si>
  <si>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Tungsten (W) smelter</t>
  </si>
  <si>
    <t>제련소 ID</t>
  </si>
  <si>
    <t xml:space="preserve">제련소 표준이름들 </t>
  </si>
  <si>
    <t>알려진 별칭</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</si>
  <si>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</si>
  <si>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</si>
  <si>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</si>
  <si>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</si>
  <si>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</si>
  <si>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</si>
  <si>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</si>
  <si>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</si>
  <si>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</si>
  <si>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</si>
  <si>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</si>
  <si>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</si>
  <si>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</si>
  <si>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</si>
  <si>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</si>
  <si>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</si>
  <si>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</si>
  <si>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</si>
  <si>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</si>
  <si>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</si>
  <si>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</si>
  <si>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</si>
  <si>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</si>
  <si>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</si>
  <si>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</si>
  <si>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</si>
  <si>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</si>
  <si>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</si>
  <si>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</si>
  <si>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</si>
  <si>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</si>
  <si>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</si>
  <si>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</si>
  <si>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</si>
  <si>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</si>
  <si>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</si>
  <si>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</si>
  <si>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</si>
  <si>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</si>
  <si>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</si>
  <si>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</si>
  <si>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</si>
  <si>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</si>
  <si>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</si>
  <si>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</si>
  <si>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</si>
  <si>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</si>
  <si>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</si>
  <si>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</si>
  <si>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</si>
  <si>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</si>
  <si>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Belitung Industri Sejahtera</t>
  </si>
  <si>
    <t>PT Bukit Timah</t>
  </si>
  <si>
    <t>PT Eunindo Usaha Mandiri</t>
  </si>
  <si>
    <t>PT Mitra Stania Prima</t>
  </si>
  <si>
    <t>PT Sariwiguna Binasentosa</t>
  </si>
  <si>
    <t>Titre du représentant légal:</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</si>
  <si>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</si>
  <si>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</si>
  <si>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</si>
  <si>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</si>
  <si>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</si>
  <si>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</si>
  <si>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</si>
  <si>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31"/>
  </si>
  <si>
    <t>A1</t>
  </si>
  <si>
    <t>A2</t>
  </si>
  <si>
    <t>A3</t>
  </si>
  <si>
    <t>A4</t>
  </si>
  <si>
    <t>A6</t>
  </si>
  <si>
    <t>A7</t>
  </si>
  <si>
    <t>A8</t>
  </si>
  <si>
    <t>A65</t>
  </si>
  <si>
    <t>A66</t>
  </si>
  <si>
    <t xml:space="preserve">15. Does 100% of the smelter’s feedstock originate from recycled or scrap sources?  - Please answer "Yes" if the smelter solely obtains inputs for its smelting process(es) from recycled or scrap sources. Answer "No" otherwise. </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</si>
  <si>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</si>
  <si>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</si>
  <si>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</si>
  <si>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</si>
  <si>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</si>
  <si>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</si>
  <si>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</si>
  <si>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</si>
  <si>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A73</t>
  </si>
  <si>
    <t>A74</t>
  </si>
  <si>
    <t>A75</t>
  </si>
  <si>
    <t>A76</t>
  </si>
  <si>
    <t>A77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</si>
  <si>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</si>
  <si>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</si>
  <si>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Old Smelter ID</t>
  </si>
  <si>
    <t>New Smelter ID</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</si>
  <si>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</si>
  <si>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</si>
  <si>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</si>
  <si>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</si>
  <si>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</si>
  <si>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</si>
  <si>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</si>
  <si>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</si>
  <si>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</si>
  <si>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</si>
  <si>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</si>
  <si>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</si>
  <si>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</si>
  <si>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</si>
  <si>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</si>
  <si>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</si>
  <si>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</si>
  <si>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</si>
  <si>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</si>
  <si>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</si>
  <si>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</si>
  <si>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</si>
  <si>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</si>
  <si>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</si>
  <si>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</si>
  <si>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</si>
  <si>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</si>
  <si>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</si>
  <si>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</si>
  <si>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</si>
  <si>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</si>
  <si>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</si>
  <si>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</si>
  <si>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</si>
  <si>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</si>
  <si>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</si>
  <si>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</si>
  <si>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</si>
  <si>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</si>
  <si>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</si>
  <si>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</si>
  <si>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</si>
  <si>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</si>
  <si>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</si>
  <si>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</si>
  <si>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</si>
  <si>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</si>
  <si>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</si>
  <si>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</si>
  <si>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</si>
  <si>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</si>
  <si>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</si>
  <si>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</si>
  <si>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</si>
  <si>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</si>
  <si>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</si>
  <si>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</si>
  <si>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</si>
  <si>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</si>
  <si>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</si>
  <si>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</si>
  <si>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</si>
  <si>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</si>
  <si>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</si>
  <si>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</si>
  <si>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</si>
  <si>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</si>
  <si>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</si>
  <si>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</si>
  <si>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</si>
  <si>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CID001352</t>
  </si>
  <si>
    <t>CID001362</t>
  </si>
  <si>
    <t>CID001386</t>
  </si>
  <si>
    <t>CID001397</t>
  </si>
  <si>
    <t>CID001498</t>
  </si>
  <si>
    <t>CID001512</t>
  </si>
  <si>
    <t>CID001534</t>
  </si>
  <si>
    <t>CID001546</t>
  </si>
  <si>
    <t>CID001562</t>
  </si>
  <si>
    <t>CID001573</t>
  </si>
  <si>
    <t>CID001585</t>
  </si>
  <si>
    <t>CID001622</t>
  </si>
  <si>
    <t>So Accurate Group, Inc.</t>
  </si>
  <si>
    <t>CID001754</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</si>
  <si>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</si>
  <si>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</si>
  <si>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</si>
  <si>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</si>
  <si>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</si>
  <si>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</si>
  <si>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</si>
  <si>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</si>
  <si>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</si>
  <si>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</si>
  <si>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</si>
  <si>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</si>
  <si>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</si>
  <si>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</si>
  <si>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</si>
  <si>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</si>
  <si>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</si>
  <si>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</si>
  <si>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</si>
  <si>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</si>
  <si>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</si>
  <si>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</si>
  <si>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</si>
  <si>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</si>
  <si>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</si>
  <si>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</si>
  <si>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CID000731</t>
  </si>
  <si>
    <t>CID000914</t>
  </si>
  <si>
    <t>CID000917</t>
  </si>
  <si>
    <t>CID000973</t>
  </si>
  <si>
    <t>CID001076</t>
  </si>
  <si>
    <t>CID001163</t>
  </si>
  <si>
    <t>CID001175</t>
  </si>
  <si>
    <t>CID001192</t>
  </si>
  <si>
    <t>CID001200</t>
  </si>
  <si>
    <t>CID001277</t>
  </si>
  <si>
    <t>CID001508</t>
  </si>
  <si>
    <t>CID001522</t>
  </si>
  <si>
    <t>CID001769</t>
  </si>
  <si>
    <t>CID001869</t>
  </si>
  <si>
    <t>CID001891</t>
  </si>
  <si>
    <t>CID001969</t>
  </si>
  <si>
    <t>CID002232</t>
  </si>
  <si>
    <t>CID000244</t>
  </si>
  <si>
    <t>CID000278</t>
  </si>
  <si>
    <t>CID000292</t>
  </si>
  <si>
    <t>CID000295</t>
  </si>
  <si>
    <t>CID000313</t>
  </si>
  <si>
    <t>CID000315</t>
  </si>
  <si>
    <t>CID000438</t>
  </si>
  <si>
    <t>Estanho de Rondônia S.A.</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</si>
  <si>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</si>
  <si>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</si>
  <si>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</si>
  <si>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</si>
  <si>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</si>
  <si>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</si>
  <si>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</si>
  <si>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</si>
  <si>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</si>
  <si>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</si>
  <si>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</si>
  <si>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</si>
  <si>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</si>
  <si>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</si>
  <si>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</si>
  <si>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</si>
  <si>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</si>
  <si>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</si>
  <si>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</si>
  <si>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</si>
  <si>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</si>
  <si>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</si>
  <si>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</si>
  <si>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</si>
  <si>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</si>
  <si>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</si>
  <si>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</si>
  <si>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</si>
  <si>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</si>
  <si>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</si>
  <si>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</si>
  <si>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</si>
  <si>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</si>
  <si>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</si>
  <si>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</si>
  <si>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</si>
  <si>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</si>
  <si>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</si>
  <si>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</si>
  <si>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</si>
  <si>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</si>
  <si>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CID000345</t>
  </si>
  <si>
    <t>CID000499</t>
  </si>
  <si>
    <t>CID000568</t>
  </si>
  <si>
    <t>CID000766</t>
  </si>
  <si>
    <t>CID000769</t>
  </si>
  <si>
    <t>CID000825</t>
  </si>
  <si>
    <t>CID000875</t>
  </si>
  <si>
    <t>CID000966</t>
  </si>
  <si>
    <t>CID001889</t>
  </si>
  <si>
    <t>CID002044</t>
  </si>
  <si>
    <t>CID002082</t>
  </si>
  <si>
    <t>CID001477</t>
  </si>
  <si>
    <t>CID002095</t>
  </si>
  <si>
    <t>CID002313</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</si>
  <si>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</si>
  <si>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</si>
  <si>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</si>
  <si>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</si>
  <si>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</si>
  <si>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4. 固有の識別番号又はコードの発行元を記入してください（「DUNS」「VAT」「顧客」等）。</t>
  </si>
  <si>
    <t>5. 御社の住所を省略せずに記入してください（番地、市、州/都道府県、国、郵便番号）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</si>
  <si>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</si>
  <si>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</si>
  <si>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</si>
  <si>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</si>
  <si>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</si>
  <si>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</si>
  <si>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「No（いいえ）」という回答に対して、コメント欄に具体的な内容の記入を要求する企業もあります。</t>
  </si>
  <si>
    <t>質問A～J（69～87行）の記入に関する解説。質問A～Jは、質問1又は2において、いずれかの金属で「Yes（はい）」の回答がある場合、必須となります。
回答は英語（半角）で入力してください。</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</si>
  <si>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</si>
  <si>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A.   「Yes（はい）」又は「No（いいえ）」でお答えください。必要に応じてコメントを記入してください。</t>
  </si>
  <si>
    <t>G. 「Yes（はい）」又は「No（いいえ）」でお答えください。必要に応じてコメントを記入してください。</t>
  </si>
  <si>
    <t>I.  「Yes（はい）」又は「No（いいえ）」でお答えください。「Yes（はい）」の場合、是正措置プロセスをどのように管理しているかを説明してください。</t>
  </si>
  <si>
    <t>J. 「Yes（はい）」又は「No（いいえ）」でお答えください。米国証券取引委員会の開示規定は、米国証券取引所法の対象となる米国で株式などの証券が取引される企業に適用されます。詳しい情報については、www.sec.gov.を参照してください。</t>
  </si>
  <si>
    <t>Smelter List（製錬業者リスト）シートの記入に関する解説
回答は英語（半角）で入力してください。</t>
  </si>
  <si>
    <t>注：(*)のある欄は必須項目です。</t>
  </si>
  <si>
    <t>このテンプレートは、製錬業者参照表を使用して製錬業者を識別できます。列B、C、DおよびEは、製錬業者参照表の機能を利用するために、左から右への順序で記入する必要があります。
金属/精錬所/国の組合せの何れかが異なる場合は、行を変えてそれぞれ個別に登録してください。</t>
  </si>
  <si>
    <t xml:space="preserve">
</t>
    <phoneticPr fontId="31"/>
  </si>
  <si>
    <t xml:space="preserve">
</t>
    <phoneticPr fontId="31"/>
  </si>
  <si>
    <t xml:space="preserve">
</t>
    <phoneticPr fontId="31"/>
  </si>
  <si>
    <t xml:space="preserve">
</t>
    <phoneticPr fontId="31"/>
  </si>
  <si>
    <t xml:space="preserve">
</t>
    <phoneticPr fontId="31"/>
  </si>
  <si>
    <t>METAL+Alias</t>
    <phoneticPr fontId="31"/>
  </si>
  <si>
    <t>該当箇所へのリンク</t>
  </si>
  <si>
    <t xml:space="preserve">소스자료와 연결 </t>
  </si>
  <si>
    <t>Lien au document d'origine</t>
  </si>
  <si>
    <t>Origen de Hipervínculo</t>
  </si>
  <si>
    <t xml:space="preserve">Collegamento ipertestuale alla fonte </t>
  </si>
  <si>
    <t>Fenix Metals</t>
  </si>
  <si>
    <t>Dayu Weiliang Tungsten Co., Ltd.</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</si>
  <si>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</si>
  <si>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</si>
  <si>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</si>
  <si>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</si>
  <si>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</si>
  <si>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</si>
  <si>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</si>
  <si>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</si>
  <si>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</si>
  <si>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</si>
  <si>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</si>
  <si>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B. Merci de répondre par "Oui" ou par "Non". Fournir le lien vers le site Internet dans la section Commentaires</t>
  </si>
  <si>
    <t xml:space="preserve">G.  "Yes=예" 또는 "No=아니오"로 답하시오. 추가 답변이 필요할 경우 작성하시오. </t>
  </si>
  <si>
    <t>G. Merci de répondre par "Oui" ou par "Non". Commenter si nécessaire</t>
  </si>
  <si>
    <t>I.   "Yes=예" 또는 "No=아니오"로 답하시오. "Yes=예"라고 답한 경우, 개선 조치 프로세스를 어떻게 관리하고 있는지 작성하시오.</t>
  </si>
  <si>
    <t>J2</t>
    <phoneticPr fontId="31"/>
  </si>
  <si>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</si>
  <si>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</si>
  <si>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</si>
  <si>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</si>
  <si>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</si>
  <si>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</si>
  <si>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</si>
  <si>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</si>
  <si>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</si>
  <si>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</si>
  <si>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</si>
  <si>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</si>
  <si>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</si>
  <si>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</si>
  <si>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</si>
  <si>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</si>
  <si>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</si>
  <si>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</si>
  <si>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</si>
  <si>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</si>
  <si>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</si>
  <si>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</si>
  <si>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</si>
  <si>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</si>
  <si>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</si>
  <si>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</si>
  <si>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</si>
  <si>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</si>
  <si>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</si>
  <si>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</si>
  <si>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</si>
  <si>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</si>
  <si>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</si>
  <si>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</si>
  <si>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</si>
  <si>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</si>
  <si>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</si>
  <si>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</si>
  <si>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</si>
  <si>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</si>
  <si>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</si>
  <si>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</si>
  <si>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</si>
  <si>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</si>
  <si>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</si>
  <si>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</si>
  <si>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</si>
  <si>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</si>
  <si>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</si>
  <si>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</si>
  <si>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</si>
  <si>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</si>
  <si>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</si>
  <si>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</si>
  <si>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</si>
  <si>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</si>
  <si>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</si>
  <si>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</si>
  <si>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</si>
  <si>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</si>
  <si>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</si>
  <si>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</si>
  <si>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</si>
  <si>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</si>
  <si>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</si>
  <si>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</si>
  <si>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</si>
  <si>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</si>
  <si>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</si>
  <si>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</si>
  <si>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</si>
  <si>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</si>
  <si>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</si>
  <si>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</si>
  <si>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</si>
  <si>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</si>
  <si>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</si>
  <si>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</si>
  <si>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</si>
  <si>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</si>
  <si>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</si>
  <si>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</si>
  <si>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</si>
  <si>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</si>
  <si>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</si>
  <si>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</si>
  <si>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</si>
  <si>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</si>
  <si>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</si>
  <si>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</si>
  <si>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</si>
  <si>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</si>
  <si>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</si>
  <si>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</si>
  <si>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</si>
  <si>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</si>
  <si>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</si>
  <si>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</si>
  <si>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</si>
  <si>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</si>
  <si>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</si>
  <si>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</si>
  <si>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</si>
  <si>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</si>
  <si>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</si>
  <si>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</si>
  <si>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</si>
  <si>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</si>
  <si>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</si>
  <si>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</si>
  <si>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</si>
  <si>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</si>
  <si>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</si>
  <si>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</si>
  <si>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</si>
  <si>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</si>
  <si>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</si>
  <si>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</si>
  <si>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</si>
  <si>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</si>
  <si>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</si>
  <si>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</si>
  <si>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</si>
  <si>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</si>
  <si>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</si>
  <si>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</si>
  <si>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</si>
  <si>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</si>
  <si>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</si>
  <si>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</si>
  <si>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</si>
  <si>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</si>
  <si>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</si>
  <si>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</si>
  <si>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</si>
  <si>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</si>
  <si>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</si>
  <si>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</si>
  <si>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</si>
  <si>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</si>
  <si>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</si>
  <si>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</si>
  <si>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</si>
  <si>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</si>
  <si>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</si>
  <si>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</si>
  <si>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</si>
  <si>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</si>
  <si>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</si>
  <si>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</si>
  <si>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</si>
  <si>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</si>
  <si>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</si>
  <si>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</si>
  <si>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</si>
  <si>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</si>
  <si>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</si>
  <si>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</si>
  <si>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</si>
  <si>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</si>
  <si>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</si>
  <si>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</si>
  <si>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</si>
  <si>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</si>
  <si>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</si>
  <si>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</si>
  <si>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</si>
  <si>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</si>
  <si>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</si>
  <si>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</si>
  <si>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</si>
  <si>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</si>
  <si>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</si>
  <si>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</si>
  <si>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</si>
  <si>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</si>
  <si>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</si>
  <si>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</si>
  <si>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</si>
  <si>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</si>
  <si>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</si>
  <si>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</si>
  <si>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</si>
  <si>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</si>
  <si>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</si>
  <si>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</si>
  <si>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</si>
  <si>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</si>
  <si>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</si>
  <si>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</si>
  <si>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</si>
  <si>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</si>
  <si>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</si>
  <si>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</si>
  <si>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</si>
  <si>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</si>
  <si>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</si>
  <si>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</si>
  <si>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</si>
  <si>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</si>
  <si>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</si>
  <si>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</si>
  <si>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</si>
  <si>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</si>
  <si>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</si>
  <si>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</si>
  <si>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</si>
  <si>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</si>
  <si>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</si>
  <si>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</si>
  <si>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</si>
  <si>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</si>
  <si>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</si>
  <si>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</si>
  <si>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</si>
  <si>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</si>
  <si>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</si>
  <si>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</si>
  <si>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</si>
  <si>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</si>
  <si>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</si>
  <si>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</si>
  <si>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</si>
  <si>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</si>
  <si>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</si>
  <si>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</si>
  <si>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</si>
  <si>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</si>
  <si>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</si>
  <si>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</si>
  <si>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</si>
  <si>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</si>
  <si>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</si>
  <si>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</si>
  <si>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</si>
  <si>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</si>
  <si>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</si>
  <si>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</si>
  <si>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</si>
  <si>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</si>
  <si>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</si>
  <si>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</si>
  <si>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</si>
  <si>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</si>
  <si>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</si>
  <si>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</si>
  <si>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</si>
  <si>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</si>
  <si>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</si>
  <si>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</si>
  <si>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</si>
  <si>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</si>
  <si>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</si>
  <si>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</si>
  <si>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</si>
  <si>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</si>
  <si>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</si>
  <si>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</si>
  <si>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</si>
  <si>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</si>
  <si>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</si>
  <si>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</si>
  <si>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</si>
  <si>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</si>
  <si>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</si>
  <si>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</si>
  <si>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</si>
  <si>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</si>
  <si>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</si>
  <si>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</si>
  <si>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</si>
  <si>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</si>
  <si>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TANZANIA, UNITED REPUBLIC OF</t>
  </si>
  <si>
    <t>UGANDA</t>
  </si>
  <si>
    <t>UKRAINE</t>
  </si>
  <si>
    <t>UNITED STATES MINOR OUTLYING ISLANDS</t>
  </si>
  <si>
    <t>URUGUAY</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</si>
  <si>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</si>
  <si>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</si>
  <si>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</si>
  <si>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</si>
  <si>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</si>
  <si>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</si>
  <si>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</si>
  <si>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</si>
  <si>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</si>
  <si>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</si>
  <si>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</si>
  <si>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</si>
  <si>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</si>
  <si>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</si>
  <si>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</si>
  <si>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</si>
  <si>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</si>
  <si>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</si>
  <si>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</si>
  <si>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</si>
  <si>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</si>
  <si>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</si>
  <si>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</si>
  <si>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</si>
  <si>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</si>
  <si>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</si>
  <si>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</si>
  <si>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</si>
  <si>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</si>
  <si>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</si>
  <si>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</si>
  <si>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</si>
  <si>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</si>
  <si>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</si>
  <si>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</si>
  <si>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</si>
  <si>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</si>
  <si>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</si>
  <si>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</si>
  <si>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</si>
  <si>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</si>
  <si>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</si>
  <si>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</si>
  <si>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</si>
  <si>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</si>
  <si>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</si>
  <si>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</si>
  <si>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</si>
  <si>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</si>
  <si>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</si>
  <si>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</si>
  <si>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</si>
  <si>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</si>
  <si>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</si>
  <si>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</si>
  <si>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</si>
  <si>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</si>
  <si>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</si>
  <si>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</si>
  <si>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</si>
  <si>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</si>
  <si>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</si>
  <si>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</si>
  <si>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</si>
  <si>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</si>
  <si>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</si>
  <si>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</si>
  <si>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</si>
  <si>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</si>
  <si>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</si>
  <si>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</si>
  <si>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</si>
  <si>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</si>
  <si>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</si>
  <si>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</si>
  <si>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</si>
  <si>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</si>
  <si>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</si>
  <si>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</si>
  <si>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</si>
  <si>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</si>
  <si>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</si>
  <si>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</si>
  <si>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</si>
  <si>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</si>
  <si>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</si>
  <si>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</si>
  <si>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</si>
  <si>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</si>
  <si>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</si>
  <si>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</si>
  <si>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</si>
  <si>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</si>
  <si>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</si>
  <si>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</si>
  <si>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</si>
  <si>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</si>
  <si>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</si>
  <si>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</si>
  <si>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</si>
  <si>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</si>
  <si>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</si>
  <si>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</si>
  <si>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</si>
  <si>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</si>
  <si>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</si>
  <si>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</si>
  <si>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</si>
  <si>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</si>
  <si>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</si>
  <si>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</si>
  <si>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</si>
  <si>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</si>
  <si>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</si>
  <si>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</si>
  <si>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</si>
  <si>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</si>
  <si>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</si>
  <si>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</si>
  <si>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</si>
  <si>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</si>
  <si>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</si>
  <si>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</si>
  <si>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</si>
  <si>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</si>
  <si>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31"/>
  </si>
  <si>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</si>
  <si>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</si>
  <si>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</si>
  <si>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</si>
  <si>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</si>
  <si>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</si>
  <si>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</si>
  <si>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</si>
  <si>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</si>
  <si>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</si>
  <si>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</si>
  <si>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</si>
  <si>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 xml:space="preserve">A. 귀사는 분쟁기여광물 사용 금지를 위한 구매 관련 정책이 있습니까? </t>
  </si>
  <si>
    <t>B61</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</si>
  <si>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</si>
  <si>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</si>
  <si>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</si>
  <si>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</si>
  <si>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</si>
  <si>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</si>
  <si>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</si>
  <si>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</si>
  <si>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</si>
  <si>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</si>
  <si>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</si>
  <si>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</si>
  <si>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</si>
  <si>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</si>
  <si>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</si>
  <si>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</si>
  <si>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</si>
  <si>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</si>
  <si>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</si>
  <si>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</si>
  <si>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</si>
  <si>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</si>
  <si>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</si>
  <si>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</si>
  <si>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</si>
  <si>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</si>
  <si>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</si>
  <si>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</si>
  <si>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</si>
  <si>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</si>
  <si>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</si>
  <si>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</si>
  <si>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</si>
  <si>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</si>
  <si>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</si>
  <si>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</si>
  <si>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</si>
  <si>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</si>
  <si>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</si>
  <si>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</si>
  <si>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</si>
  <si>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</si>
  <si>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</si>
  <si>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</si>
  <si>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</si>
  <si>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</si>
  <si>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</si>
  <si>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</si>
  <si>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Link zur "CFS Compliant Smelter"- Liste</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</si>
  <si>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</si>
  <si>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</si>
  <si>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</si>
  <si>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</si>
  <si>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</si>
  <si>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</si>
  <si>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</si>
  <si>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</si>
  <si>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</si>
  <si>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</si>
  <si>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</si>
  <si>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</si>
  <si>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</si>
  <si>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</si>
  <si>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</si>
  <si>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</si>
  <si>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</si>
  <si>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</si>
  <si>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</si>
  <si>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</si>
  <si>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</si>
  <si>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</si>
  <si>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</si>
  <si>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</si>
  <si>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</si>
  <si>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</si>
  <si>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</si>
  <si>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</si>
  <si>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</si>
  <si>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</si>
  <si>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</si>
  <si>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</si>
  <si>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</si>
  <si>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</si>
  <si>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</si>
  <si>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</si>
  <si>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</si>
  <si>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</si>
  <si>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</si>
  <si>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</si>
  <si>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</si>
  <si>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</si>
  <si>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</si>
  <si>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</si>
  <si>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</si>
  <si>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</si>
  <si>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</si>
  <si>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</si>
  <si>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</si>
  <si>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</si>
  <si>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</si>
  <si>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</si>
  <si>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</si>
  <si>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</si>
  <si>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</si>
  <si>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</si>
  <si>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</si>
  <si>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</si>
  <si>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</si>
  <si>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</si>
  <si>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</si>
  <si>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</si>
  <si>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</si>
  <si>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</si>
  <si>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</si>
  <si>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</si>
  <si>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</si>
  <si>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</si>
  <si>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</si>
  <si>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</si>
  <si>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</si>
  <si>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</si>
  <si>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</si>
  <si>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</si>
  <si>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</si>
  <si>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</si>
  <si>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</si>
  <si>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</si>
  <si>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</si>
  <si>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</si>
  <si>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</si>
  <si>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</si>
  <si>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</si>
  <si>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</si>
  <si>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</si>
  <si>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</si>
  <si>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</si>
  <si>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</si>
  <si>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</si>
  <si>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</si>
  <si>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</si>
  <si>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</si>
  <si>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</si>
  <si>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Alias conocidos</t>
  </si>
  <si>
    <t>Smelter Reference List (*)</t>
  </si>
  <si>
    <t>製錬業者参照表(*)</t>
  </si>
  <si>
    <t>제련소 참조 리스트(*)</t>
  </si>
  <si>
    <t>Liste des fonderies référencées(*)</t>
  </si>
  <si>
    <t>Schmelzhütten-Referenz-Liste(*)</t>
  </si>
  <si>
    <t>Lista de referencia de fundidores(*)</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</si>
  <si>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</si>
  <si>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</si>
  <si>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</si>
  <si>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</si>
  <si>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</si>
  <si>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</si>
  <si>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</si>
  <si>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</si>
  <si>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</si>
  <si>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</si>
  <si>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</si>
  <si>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</si>
  <si>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</si>
  <si>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</si>
  <si>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</si>
  <si>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</si>
  <si>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</si>
  <si>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</si>
  <si>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</si>
  <si>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</si>
  <si>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</si>
  <si>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</si>
  <si>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</si>
  <si>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</si>
  <si>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</si>
  <si>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</si>
  <si>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</si>
  <si>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</si>
  <si>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</si>
  <si>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</si>
  <si>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</si>
  <si>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</si>
  <si>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</si>
  <si>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</si>
  <si>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</si>
  <si>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</si>
  <si>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</si>
  <si>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</si>
  <si>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</si>
  <si>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</si>
  <si>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</si>
  <si>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</si>
  <si>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</si>
  <si>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</si>
  <si>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</si>
  <si>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</si>
  <si>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</si>
  <si>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</si>
  <si>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</si>
  <si>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</si>
  <si>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</si>
  <si>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</si>
  <si>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</si>
  <si>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</si>
  <si>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</si>
  <si>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</si>
  <si>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</si>
  <si>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</si>
  <si>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</si>
  <si>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</si>
  <si>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</si>
  <si>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</si>
  <si>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</si>
  <si>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</si>
  <si>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</si>
  <si>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</si>
  <si>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</si>
  <si>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</si>
  <si>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</si>
  <si>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</si>
  <si>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</si>
  <si>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</si>
  <si>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</si>
  <si>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</si>
  <si>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</si>
  <si>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</si>
  <si>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</si>
  <si>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</si>
  <si>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</si>
  <si>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</si>
  <si>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</si>
  <si>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</si>
  <si>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</si>
  <si>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</si>
  <si>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</si>
  <si>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</si>
  <si>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</si>
  <si>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</si>
  <si>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</si>
  <si>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</si>
  <si>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</si>
  <si>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</si>
  <si>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</si>
  <si>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</si>
  <si>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</si>
  <si>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</si>
  <si>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</si>
  <si>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</si>
  <si>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</si>
  <si>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</si>
  <si>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</si>
  <si>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</si>
  <si>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</si>
  <si>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</si>
  <si>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</si>
  <si>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</si>
  <si>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</si>
  <si>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</si>
  <si>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</si>
  <si>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</si>
  <si>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</si>
  <si>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</si>
  <si>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</si>
  <si>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</si>
  <si>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</si>
  <si>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</si>
  <si>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</si>
  <si>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</si>
  <si>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</si>
  <si>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</si>
  <si>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</si>
  <si>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</si>
  <si>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</si>
  <si>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</si>
  <si>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</si>
  <si>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</si>
  <si>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</si>
  <si>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</si>
  <si>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</si>
  <si>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</si>
  <si>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</si>
  <si>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</si>
  <si>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</si>
  <si>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</si>
  <si>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</si>
  <si>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</si>
  <si>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</si>
  <si>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</si>
  <si>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</si>
  <si>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</si>
  <si>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</si>
  <si>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</si>
  <si>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</si>
  <si>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</si>
  <si>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</si>
  <si>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</si>
  <si>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</si>
  <si>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</si>
  <si>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</si>
  <si>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</si>
  <si>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</si>
  <si>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</si>
  <si>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</si>
  <si>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</si>
  <si>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</si>
  <si>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</si>
  <si>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</si>
  <si>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</si>
  <si>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</si>
  <si>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</si>
  <si>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</si>
  <si>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</si>
  <si>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</si>
  <si>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</si>
  <si>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</si>
  <si>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</si>
  <si>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</si>
  <si>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</si>
  <si>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</si>
  <si>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</si>
  <si>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</si>
  <si>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</si>
  <si>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</si>
  <si>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</si>
  <si>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</si>
  <si>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</si>
  <si>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</si>
  <si>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</si>
  <si>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</si>
  <si>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</si>
  <si>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</si>
  <si>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</si>
  <si>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</si>
  <si>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</si>
  <si>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</si>
  <si>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</si>
  <si>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</si>
  <si>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</si>
  <si>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</si>
  <si>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</si>
  <si>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</si>
  <si>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</si>
  <si>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</si>
  <si>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</si>
  <si>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</si>
  <si>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</si>
  <si>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</si>
  <si>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</si>
  <si>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</si>
  <si>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</si>
  <si>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</si>
  <si>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</si>
  <si>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</si>
  <si>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</si>
  <si>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</si>
  <si>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</si>
  <si>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</si>
  <si>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</si>
  <si>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</si>
  <si>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</si>
  <si>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</si>
  <si>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</si>
  <si>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</si>
  <si>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</si>
  <si>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</si>
  <si>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</si>
  <si>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</si>
  <si>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</si>
  <si>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</si>
  <si>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</si>
  <si>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</si>
  <si>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</si>
  <si>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</si>
  <si>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</si>
  <si>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</si>
  <si>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</si>
  <si>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</si>
  <si>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</si>
  <si>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</si>
  <si>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</si>
  <si>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</si>
  <si>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</si>
  <si>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</si>
  <si>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</si>
  <si>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</si>
  <si>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</si>
  <si>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</si>
  <si>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</si>
  <si>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</si>
  <si>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</si>
  <si>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</si>
  <si>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</si>
  <si>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</si>
  <si>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</si>
  <si>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</si>
  <si>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</si>
  <si>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</si>
  <si>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</si>
  <si>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</si>
  <si>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</si>
  <si>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</si>
  <si>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</si>
  <si>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</si>
  <si>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</si>
  <si>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</si>
  <si>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</si>
  <si>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</si>
  <si>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</si>
  <si>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</si>
  <si>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</si>
  <si>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</si>
  <si>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</si>
  <si>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</si>
  <si>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</si>
  <si>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</si>
  <si>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</si>
  <si>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</si>
  <si>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</si>
  <si>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</si>
  <si>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Western Australian Mint trading as The Perth Mint</t>
  </si>
  <si>
    <t>Gold</t>
  </si>
  <si>
    <t>Tin</t>
  </si>
  <si>
    <t>Tantalum</t>
  </si>
  <si>
    <t>Tungsten</t>
  </si>
  <si>
    <t>Metall (*)</t>
  </si>
  <si>
    <t>Metal(*)</t>
  </si>
  <si>
    <t>Localisation de la fonderie : Pays (*)</t>
  </si>
  <si>
    <t>Schmelzhütte Standort: Land</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</si>
  <si>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</si>
  <si>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</si>
  <si>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</si>
  <si>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</si>
  <si>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</si>
  <si>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</si>
  <si>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</si>
  <si>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</si>
  <si>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</si>
  <si>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</si>
  <si>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</si>
  <si>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</si>
  <si>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</si>
  <si>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</si>
  <si>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</si>
  <si>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</si>
  <si>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</si>
  <si>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</si>
  <si>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</si>
  <si>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</si>
  <si>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</si>
  <si>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</si>
  <si>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</si>
  <si>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</si>
  <si>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</si>
  <si>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</si>
  <si>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</si>
  <si>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</si>
  <si>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</si>
  <si>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</si>
  <si>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</si>
  <si>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</si>
  <si>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</si>
  <si>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</si>
  <si>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</si>
  <si>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</si>
  <si>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</si>
  <si>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This template allows for smelter identification using the Smelter Reference List. Columns B,C,D and E must be completed in order from left to right to utilize the Smelter Reference List feature.
Use a separate line for each metal/smelter/country combination</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</si>
  <si>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</si>
  <si>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</si>
  <si>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</si>
  <si>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</si>
  <si>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</si>
  <si>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</si>
  <si>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</si>
  <si>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</si>
  <si>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Merci de répondre par "Oui" ou par "Non". Commenter si nécessaire</t>
  </si>
  <si>
    <t xml:space="preserve">B.  "Yes=예" 또는 "No=아니오"로 답하시오. 웹사이트 링크를 기입하시오. </t>
  </si>
  <si>
    <t>Metalor Switzerland</t>
  </si>
  <si>
    <t>Schmelzhütte Identifizierung</t>
  </si>
  <si>
    <t>Standard Schmelzhütten Namen</t>
  </si>
  <si>
    <t>Bekannt als</t>
  </si>
  <si>
    <t>製錬業者識別番号</t>
  </si>
  <si>
    <t>標準的製錬業者名</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</si>
  <si>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</si>
  <si>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</si>
  <si>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</si>
  <si>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</si>
  <si>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</si>
  <si>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</si>
  <si>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</si>
  <si>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</si>
  <si>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</si>
  <si>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Introduzione</t>
  </si>
  <si>
    <t>Note: i campi con asterisco (*) sono a risposta obbligatoria</t>
  </si>
  <si>
    <t>G. Bitte mit "Ja" oder "Nein" antworten. Machen Sie Anmerkungen wenn notwendig.</t>
  </si>
  <si>
    <t>J. Bitte mit "Ja" oder "Nein" antworten. Die von der SEC gestellten Anforderungen an Offenlegung gelten für alle US  börsennotierten Firmen, die dem US Securities Exchange Act unterliegen. Weitere Informationen erhalten sie unter: www.sec.gov</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</si>
  <si>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</si>
  <si>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</si>
  <si>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</si>
  <si>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</si>
  <si>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</si>
  <si>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</si>
  <si>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</si>
  <si>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</si>
  <si>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</si>
  <si>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</si>
  <si>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</si>
  <si>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</si>
  <si>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</si>
  <si>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</si>
  <si>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</si>
  <si>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</si>
  <si>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</si>
  <si>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</si>
  <si>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</si>
  <si>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</si>
  <si>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</si>
  <si>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</si>
  <si>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</si>
  <si>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</si>
  <si>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</si>
  <si>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</si>
  <si>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</si>
  <si>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</si>
  <si>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</si>
  <si>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</si>
  <si>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</si>
  <si>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</si>
  <si>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</si>
  <si>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</si>
  <si>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</si>
  <si>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</si>
  <si>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</si>
  <si>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</si>
  <si>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</si>
  <si>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</si>
  <si>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</si>
  <si>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</si>
  <si>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</si>
  <si>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</si>
  <si>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</si>
  <si>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</si>
  <si>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</si>
  <si>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</si>
  <si>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</si>
  <si>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</si>
  <si>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</si>
  <si>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</si>
  <si>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</si>
  <si>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</si>
  <si>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</si>
  <si>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</si>
  <si>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</si>
  <si>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</si>
  <si>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</si>
  <si>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</si>
  <si>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</si>
  <si>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</si>
  <si>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</si>
  <si>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</si>
  <si>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</si>
  <si>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</si>
  <si>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</si>
  <si>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G. Avete richiesto ai vostri fornitori il nominativo delle fonderie?</t>
  </si>
  <si>
    <t>I. Il vostro processo di verifica include la gestione di azioni correttive?</t>
  </si>
  <si>
    <t>J. Siete soggetti alla norma stabilita dalla SEC relativa all'obbligo di  divulgazione dei Conflict Minerals?</t>
  </si>
  <si>
    <t xml:space="preserve">
</t>
    <phoneticPr fontId="6" type="noConversion"/>
  </si>
  <si>
    <t xml:space="preserve">
</t>
    <phoneticPr fontId="6" type="noConversion"/>
  </si>
  <si>
    <t xml:space="preserve">
</t>
    <phoneticPr fontId="6"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</si>
  <si>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</si>
  <si>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</si>
  <si>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</si>
  <si>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</si>
  <si>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</si>
  <si>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</si>
  <si>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</si>
  <si>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</si>
  <si>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</si>
  <si>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</si>
  <si>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</si>
  <si>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</si>
  <si>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Provide % of completeness of supplier's smelter information on Declaration tab cell D50</t>
    <phoneticPr fontId="31"/>
  </si>
  <si>
    <t>Provide % of completeness of supplier's smelter information on Declaration tab cell D51</t>
    <phoneticPr fontId="31"/>
  </si>
  <si>
    <t>Provide % of completeness of supplier's smelter information on Declaration tab cell D52</t>
    <phoneticPr fontId="31"/>
  </si>
  <si>
    <t>Provide % of completeness of supplier's smelter information on Declaration tab cell D53</t>
    <phoneticPr fontId="31"/>
  </si>
  <si>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</si>
  <si>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</si>
  <si>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</si>
  <si>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</si>
  <si>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</si>
  <si>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31"/>
  </si>
  <si>
    <t>E. Avete adottato con la dovuta diligenza misure per l'acquisto di metalli da zone senza conflitti?</t>
  </si>
  <si>
    <t>B69</t>
  </si>
  <si>
    <t>B71</t>
  </si>
  <si>
    <t xml:space="preserve">G. 您是否有要求您的供应商提供冶炼厂的名字？ </t>
  </si>
  <si>
    <t xml:space="preserve">G. Demandez-vous les noms des fonderies à vos fournisseurs ? </t>
  </si>
  <si>
    <t xml:space="preserve">G. Pides  el nombre de los fundidores a tu proveedores? </t>
  </si>
  <si>
    <t>B73</t>
  </si>
  <si>
    <t>B75</t>
  </si>
  <si>
    <t xml:space="preserve">I. Votre processus de vérification inclut-il la gestion des actions correctives ? </t>
  </si>
  <si>
    <t>B77</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</si>
  <si>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</si>
  <si>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</si>
  <si>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Unterliegt Ihre Firma den Offenlegungspflichten der SEC im Bezug auf Konfliktmineralien? </t>
  </si>
  <si>
    <t xml:space="preserve">Tantalum  </t>
  </si>
  <si>
    <t>タンタル</t>
  </si>
  <si>
    <t xml:space="preserve">탄탈륨  </t>
  </si>
  <si>
    <t xml:space="preserve">Tantale  </t>
  </si>
  <si>
    <t xml:space="preserve">Tantal  </t>
  </si>
  <si>
    <t xml:space="preserve">Tantalio  </t>
  </si>
  <si>
    <t xml:space="preserve">Tin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</si>
  <si>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</si>
  <si>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</si>
  <si>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</si>
  <si>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</si>
  <si>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</si>
  <si>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</si>
  <si>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</si>
  <si>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</si>
  <si>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</si>
  <si>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</si>
  <si>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</si>
  <si>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</si>
  <si>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タングステン</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</si>
  <si>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</si>
  <si>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</si>
  <si>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</si>
  <si>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</si>
  <si>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</si>
  <si>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</si>
  <si>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</si>
  <si>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</si>
  <si>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</si>
  <si>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</si>
  <si>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</si>
  <si>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</si>
  <si>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</si>
  <si>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</si>
  <si>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</si>
  <si>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</si>
  <si>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</si>
  <si>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</si>
  <si>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</si>
  <si>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</si>
  <si>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</si>
  <si>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</si>
  <si>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</si>
  <si>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6" type="noConversion"/>
  </si>
  <si>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</si>
  <si>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</si>
  <si>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</si>
  <si>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</si>
  <si>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</si>
  <si>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</si>
  <si>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</si>
  <si>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</si>
  <si>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</si>
  <si>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</si>
  <si>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</si>
  <si>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</si>
  <si>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</si>
  <si>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</si>
  <si>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comment1</t>
    <phoneticPr fontId="31"/>
  </si>
  <si>
    <t>comment for remaining</t>
    <phoneticPr fontId="31"/>
  </si>
  <si>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</si>
  <si>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</si>
  <si>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</si>
  <si>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</si>
  <si>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</si>
  <si>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</si>
  <si>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</si>
  <si>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</si>
  <si>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CID002500</t>
  </si>
  <si>
    <t>CID002011</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</si>
  <si>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</si>
  <si>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</si>
  <si>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</si>
  <si>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</si>
  <si>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</si>
  <si>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</si>
  <si>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</si>
  <si>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</si>
  <si>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</si>
  <si>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</si>
  <si>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</si>
  <si>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</si>
  <si>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</si>
  <si>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</si>
  <si>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Anweisungen zum Ausfüllen der Fragen A - J. (Zeilen 69 - 87).  Fragen A bis J sind erforderlich, wenn die Antwort auf die Frage 1 oder 2  "Ja"  für irgendein Metall ist.
Antworten bitte nur in englischer Sprache eingeben.</t>
  </si>
  <si>
    <t>C. Antworten Sie bitte mit "Ja" oder "Nein".  Kommentare falls erforderlich. Siehe Definitionen Arbeitsblatt für die Definition der "Demokratischen Republik Kongo Konflikt -frei".</t>
  </si>
  <si>
    <t>E. Antworten Sie bitte mit "Ja" oder "Nein", um offenlegen, ob Ihr Unternehmen die notwendigen Sorgfaltspflichten bzgl. der Konflikt Mineralien Lieferkette implementiert hat.  Diese Erklärung ist nicht dazu bestimmt, die Einzelheiten der Sorgfaltspflichten offenzulegen, sondern zu zeigen, dass ein Unternehmen die notwendigen Sorgfaltspflichten implemntiert hat. Die Aspekte der zulässigen notwendigen Sorgfaltspflichten Maßnahmen werden durch den Anforderer und den Lieferanten bestimmt.
Beispiele für die Due Diligence Maßnahmen können unter anderem sein: Kommunikation und die Einbindung ihrer Erwartungen an die Lieferanten auf eine konflikt-freie Mineralien Lieferkette chain in Verträge (soweit möglich) , Identifizierung und Bewertung von Risiken in der Lieferkette, Gestaltung und Umsetzung einer Strategie zur Reaktion auf identifizierte Risiken, überprüfen ob ihre direkten Lieferant die Einhaltung der DRC konflikt-frei Politik usw.  Die Überprüfung der Beispiele für notwendige Sorgfaltspflichten stehen im Einklang mit den Leitlinien der international anerkannten OECD-Leitlinien.</t>
  </si>
  <si>
    <t>H. Antworten Sie bitte mit "Ja" oder "Nein".  In der Spalte "Kommentare" können Sie zusätzliche Informationen über ihre Vorgehensweise eintragen. Beispiele können sein:
" 3rd Party Audit" - Audits vor Ort bei Lieferanten durch unabhängige Dritte.
"Nur Überprüfung der Dokumentation" - eine Überprüfung der vom Lieferanten vorgelegten Nachweise und Dokumentationen erfolgt durch unabhängige Dritte und/oder ihre Mitarbeiter.
"Interne Revision" - Prüfungen vor Ort, durchgeführt von firmeneigenem Personal beim Lieferanten.</t>
  </si>
  <si>
    <t>I. Bitte mit "Ja" oder "Nein" antworten. Falls "Ja", beschreiben Sie bitte, wie Sie den Prozess der korrektiven Maßnahmen ausführen.</t>
  </si>
  <si>
    <t>Anleitung zum Ausfüllen des Reiters "Smelter List". Bitte machen Sie ihre Angaben nur in englischer Sprache.</t>
  </si>
  <si>
    <t>Diese Vorlage ermöglicht die Identifikation der Schmelzer  mit der Schmelzer Referenzliste. Die Spalten B, C, D und E müssen  in der Reihenfolge von links nach rechts ausgefüllt werden, um die Schmelzer Referenzliste Funktionen zu nutzen.
 Verwenden Sie eine separate Zeile für jedes Metall / Hütte / Land-Kombination</t>
  </si>
  <si>
    <t>15. Kommt 100% des Rohstoffes des Schmelzers aus Recycling oder Schrott? Bitte antworten Sie mit "Ja", wenn die Schmelzanlage für die Verhüttungsprozesse nur recyceltes Material oder Schrott verwendet. Falls nicht, antworten Sie mit  "Nein".</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</si>
  <si>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</si>
  <si>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</si>
  <si>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</si>
  <si>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</si>
  <si>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</si>
  <si>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</si>
  <si>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Das Konfliktfreie Schmelzer Programm (CFSP) ist ein Programm, das die EICC und GeSI entwickelt haben, damit Unternehmen die verantwortlichen Quellen für die Beschaffung von Metallen überprüfen können. Weitere Einzelheiten über die GASP finden Sie hier: http://www.conflictfreesourcing.org/conflict-free-smelter-program/.</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</si>
  <si>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CFSI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CFSI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</si>
  <si>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Eine Gold-Raffinerie ist ein metallurgischer Verarbeiter, der Feingold mit einer Konzentration von 99,5% oder höher aus Gold und goldhaltigen Materialien mit niedrigeren Konzentrationen produziert. Hier finden Sie in der GASP Prüfprotokolle für dieses Metall für eine vollständige Beschreibung: http://www.conflictfreesourcing.org/audit-protocols-procedures/.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</si>
  <si>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</si>
  <si>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</si>
  <si>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Taos,N. M.  Washington, D.C.,USA, Stockholm, Schweden, Moskau, Russland, Bangalor, Indien,Bangkok, Thailand, und Shanghai, Shenzhen, Chengdu,Suzhou und Peking, China.</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</si>
  <si>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</si>
  <si>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._x000D_
_x000D_
BEACHTEN SIE: Das Konflikmineral muss im Produkt enthalten sein._x000D_
_x000D_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</si>
  <si>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</si>
  <si>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</si>
  <si>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GASP Auditprotokoll eine vollständige Beschreibung für dieses Metall: http://www.conflictfreesourcing.org/audit-protocols-procedures/.</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</si>
  <si>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GASP Auditprotokoll eine vollständige Beschreibung für dieses Metall: http://www.conflictfreesourcing.org/audit-protocols-procedures/.</t>
  </si>
  <si>
    <t>Der Zweck dieses Dokuments ist die Erfassung von Beschaffungsinformationen für Zinn, Tantal, Wolfram und Gold, welche in Produkten genutzt werden.</t>
  </si>
  <si>
    <t>Alte Schmelzer-ID</t>
  </si>
  <si>
    <t>Neue Schmelzer-ID</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</si>
  <si>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</si>
  <si>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</si>
  <si>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</si>
  <si>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</si>
  <si>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</si>
  <si>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</si>
  <si>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</si>
  <si>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</si>
  <si>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</si>
  <si>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CFSI website: (www.conflictfreesourcing.org)
Schulung und Beratung, Vorlagen, Konfliktfreie Metalle, konforme Schmelzhütten Liste</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</si>
  <si>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Konfliktfreie Anwendungsverteilung Sourcing Initiative (www.conflictfreesourcing.org).</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</si>
  <si>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</si>
  <si>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</si>
  <si>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</si>
  <si>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</si>
  <si>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</si>
  <si>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</si>
  <si>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</si>
  <si>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</si>
  <si>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</si>
  <si>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</si>
  <si>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Eine eindeutige ID-Nummer der CFSI bestimmt Unternehmen, die von Mitgliedern der Lieferkette als Schmelzhütten oder Raffinerien gemeldet  wurden, ungeachtet dessen ob sie überprüft wurden, die Eigenschaften der Schmelzhütten oder Raffinerien im Sinne der GASP(CFSP) 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</si>
  <si>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GASP Auditprotokoll eine vollständige Beschreibung für dieses Metall: http://www.conflictfreesourcing.org/audit-protocols-procedures/.</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</si>
  <si>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</si>
  <si>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</si>
  <si>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</si>
  <si>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</si>
  <si>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</si>
  <si>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</si>
  <si>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</si>
  <si>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 xml:space="preserve">钨 Tungsten </t>
  </si>
  <si>
    <t xml:space="preserve">金 Gold </t>
  </si>
  <si>
    <t xml:space="preserve">锡 Tin </t>
  </si>
  <si>
    <t xml:space="preserve">钽 Tantalum </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</si>
  <si>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</si>
  <si>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</si>
  <si>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</si>
  <si>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</si>
  <si>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</si>
  <si>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</si>
  <si>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</si>
  <si>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</si>
  <si>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</si>
  <si>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</si>
  <si>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CID000307</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</si>
  <si>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</si>
  <si>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</si>
  <si>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</si>
  <si>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</si>
  <si>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</si>
  <si>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</si>
  <si>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</si>
  <si>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</si>
  <si>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</si>
  <si>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</si>
  <si>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</si>
  <si>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</si>
  <si>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</si>
  <si>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Republic Metals Corporation</t>
  </si>
  <si>
    <t>CID002510</t>
  </si>
  <si>
    <t>CID001736</t>
  </si>
  <si>
    <t>Singway Technology Co., Ltd.</t>
  </si>
  <si>
    <t>CID002516</t>
  </si>
  <si>
    <t>D Block Metals, LLC</t>
  </si>
  <si>
    <t>CID002504</t>
  </si>
  <si>
    <t>CID002505</t>
  </si>
  <si>
    <t>CID002512</t>
  </si>
  <si>
    <t>CID002506</t>
  </si>
  <si>
    <t>CID002507</t>
  </si>
  <si>
    <t>CID002508</t>
  </si>
  <si>
    <t>CV Venus Inti Perkasa</t>
  </si>
  <si>
    <t>CID002455</t>
  </si>
  <si>
    <t>O.M. Manufacturing Philippines, Inc.</t>
  </si>
  <si>
    <t>CID002517</t>
  </si>
  <si>
    <t>PT ATD Makmur Mandiri Jaya</t>
  </si>
  <si>
    <t>CID002503</t>
  </si>
  <si>
    <t>PT Inti Stania Prima</t>
  </si>
  <si>
    <t>CID002530</t>
  </si>
  <si>
    <t>PT Tirus Putra Mandiri</t>
  </si>
  <si>
    <t>CID002478</t>
  </si>
  <si>
    <t>CID002479</t>
  </si>
  <si>
    <t>Asia Tungsten Products Vietnam Ltd.</t>
  </si>
  <si>
    <t>CID002502</t>
  </si>
  <si>
    <t>Chenzhou Diamond Tungsten Products Co., Ltd.</t>
  </si>
  <si>
    <t>CID002513</t>
  </si>
  <si>
    <t>Dayu Jincheng Tungsten Industry Co., Ltd.</t>
  </si>
  <si>
    <t>CID002518</t>
  </si>
  <si>
    <t>Ganzhou Yatai Tungsten Co., Ltd.</t>
  </si>
  <si>
    <t>CID002536</t>
  </si>
  <si>
    <t>Jiangxi Xiushui Xianggan Nonferrous Metals Co., Ltd.</t>
  </si>
  <si>
    <t>CID002535</t>
  </si>
  <si>
    <t>JSC Uralelectromed</t>
  </si>
  <si>
    <t>Samduck Precious Metals</t>
  </si>
  <si>
    <t>CID001555</t>
  </si>
  <si>
    <t>CID000402</t>
  </si>
  <si>
    <t>Global Advanced Metals Aizu</t>
  </si>
  <si>
    <t>CID002558</t>
  </si>
  <si>
    <t>Global Advanced Metals Boyertown</t>
  </si>
  <si>
    <t>CID002557</t>
  </si>
  <si>
    <t>H.C. Starck Co., Ltd.</t>
  </si>
  <si>
    <t>CID002544</t>
  </si>
  <si>
    <t>H.C. Starck GmbH Goslar</t>
  </si>
  <si>
    <t>CID002545</t>
  </si>
  <si>
    <t>H.C. Starck GmbH Laufenburg</t>
  </si>
  <si>
    <t>CID002546</t>
  </si>
  <si>
    <t>H.C. Starck Hermsdorf GmbH</t>
  </si>
  <si>
    <t>CID002547</t>
  </si>
  <si>
    <t>H.C. Starck Inc.</t>
  </si>
  <si>
    <t>CID002548</t>
  </si>
  <si>
    <t>H.C. Starck Ltd.</t>
  </si>
  <si>
    <t>CID002549</t>
  </si>
  <si>
    <t>H.C. Starck Smelting GmbH &amp; Co.KG</t>
  </si>
  <si>
    <t>CID002550</t>
  </si>
  <si>
    <t>KEMET Blue Metals</t>
  </si>
  <si>
    <t>CID002539</t>
  </si>
  <si>
    <t>Plansee SE Liezen</t>
  </si>
  <si>
    <t>CID002540</t>
  </si>
  <si>
    <t>Plansee SE Reutte</t>
  </si>
  <si>
    <t>CID002556</t>
  </si>
  <si>
    <t>Gejiu Kai Meng Industry and Trade LLC</t>
  </si>
  <si>
    <t>H.C. Starck GmbH</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</si>
  <si>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</si>
  <si>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</si>
  <si>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</si>
  <si>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</si>
  <si>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</si>
  <si>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</si>
  <si>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</si>
  <si>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</si>
  <si>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</si>
  <si>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</si>
  <si>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</si>
  <si>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中文</t>
    </r>
    <r>
      <rPr>
        <sz val="11"/>
        <rFont val="Verdana"/>
        <family val="2"/>
      </rPr>
      <t xml:space="preserve"> Chinese</t>
    </r>
  </si>
  <si>
    <r>
      <t>日本語</t>
    </r>
    <r>
      <rPr>
        <sz val="11"/>
        <rFont val="Verdana"/>
        <family val="2"/>
      </rPr>
      <t xml:space="preserve"> Japanese</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</si>
  <si>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</si>
  <si>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 xml:space="preserve">E. 请回答是(Yes)或不是(No)来申报贵公司是否有对冲突矿产采购进行审查鉴定。 申报无需提供审查鉴定的细则， 仅是报告有否曾做过审查鉴定。审查鉴定方法能否被接受是由提要求者和供应商共同决定的。                           </t>
    </r>
    <r>
      <rPr>
        <sz val="11"/>
        <rFont val="Calibri"/>
        <family val="2"/>
      </rPr>
      <t xml:space="preserve">。                                       审查鉴定方法的例子可能有：客户与供应商的合同或其它文件表明客户对其供应链中不使用冲突矿产的期望、识别与评估供应链的风险、就识别出的风险制定并实施的策略、核查直接供应商遵守无刚果民主共和国冲突（DRC conflict-free）政策的情况， 等等。 这些审查鉴定方法的例子均符合相关指引，其中包括受国际认可的组织经济合作与发展（OECD)指引。 </t>
    </r>
  </si>
  <si>
    <r>
      <t xml:space="preserve">H. 请回答是(Yes)或不是(No)。在注释栏贵公司可以填写更多关于实施方法的信息。 可能的例子会有：                                     </t>
    </r>
    <r>
      <rPr>
        <sz val="11"/>
        <rFont val="Calibri"/>
        <family val="2"/>
      </rPr>
      <t xml:space="preserve">“                                     “第三方审核”- 由独立的第三方对供应商进行现场审核。                               “只进行文件查阅”- 由独立的第三方或贵公司人员对供应商提交的记录、文件进行查阅。     “内部审核”- 由贵公司的人员对供应商进行现场审核。 </t>
    </r>
  </si>
  <si>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</si>
  <si>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En ce qui concerne les audits de fonderies, un "cabinet d'audit indépendant du secteur privé"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</si>
  <si>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</si>
  <si>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1"/>
        <rFont val="Verdana"/>
        <family val="2"/>
      </rPr>
      <t>. Reportez-vous au protocole de vérification du CFSP pour ce métal pour une description complète: http://www.conflictfreesourcing.org/audit-protocols-procedures/ .</t>
    </r>
  </si>
  <si>
    <r>
      <t>公司名称（</t>
    </r>
    <r>
      <rPr>
        <vertAlign val="superscript"/>
        <sz val="11"/>
        <rFont val="Calibri"/>
        <family val="2"/>
      </rPr>
      <t>*</t>
    </r>
    <r>
      <rPr>
        <sz val="11"/>
        <rFont val="Verdana"/>
        <family val="2"/>
      </rPr>
      <t>）：</t>
    </r>
  </si>
  <si>
    <t>B10A</t>
  </si>
  <si>
    <t>B10C</t>
  </si>
  <si>
    <r>
      <t>范围描述 (</t>
    </r>
    <r>
      <rPr>
        <vertAlign val="superscript"/>
        <sz val="11"/>
        <rFont val="Calibri"/>
        <family val="2"/>
      </rPr>
      <t>*</t>
    </r>
    <r>
      <rPr>
        <sz val="11"/>
        <rFont val="Verdana"/>
        <family val="2"/>
      </rPr>
      <t>):</t>
    </r>
  </si>
  <si>
    <t>B10B</t>
  </si>
  <si>
    <r>
      <rPr>
        <sz val="11"/>
        <rFont val="宋体"/>
      </rPr>
      <t>联系人姓名</t>
    </r>
    <r>
      <rPr>
        <sz val="11"/>
        <rFont val="Verdana"/>
        <family val="2"/>
      </rPr>
      <t xml:space="preserve"> (*):</t>
    </r>
  </si>
  <si>
    <r>
      <rPr>
        <sz val="11"/>
        <rFont val="宋体"/>
      </rPr>
      <t>联系人电邮地址</t>
    </r>
    <r>
      <rPr>
        <sz val="11"/>
        <rFont val="Verdana"/>
        <family val="2"/>
      </rPr>
      <t xml:space="preserve"> (*):</t>
    </r>
  </si>
  <si>
    <r>
      <rPr>
        <sz val="11"/>
        <rFont val="宋体"/>
      </rPr>
      <t>联系人电话</t>
    </r>
    <r>
      <rPr>
        <sz val="11"/>
        <rFont val="Verdana"/>
        <family val="2"/>
      </rPr>
      <t xml:space="preserve"> (*):</t>
    </r>
  </si>
  <si>
    <r>
      <rPr>
        <sz val="11"/>
        <rFont val="宋体"/>
      </rPr>
      <t>授权人姓名</t>
    </r>
    <r>
      <rPr>
        <sz val="11"/>
        <rFont val="Verdana"/>
        <family val="2"/>
      </rPr>
      <t xml:space="preserve"> (*):</t>
    </r>
  </si>
  <si>
    <r>
      <rPr>
        <sz val="11"/>
        <rFont val="宋体"/>
      </rPr>
      <t>授权人职务</t>
    </r>
    <r>
      <rPr>
        <sz val="11"/>
        <rFont val="Verdana"/>
        <family val="2"/>
      </rPr>
      <t>:</t>
    </r>
  </si>
  <si>
    <r>
      <rPr>
        <sz val="11"/>
        <rFont val="宋体"/>
      </rPr>
      <t>授权人电邮地址</t>
    </r>
    <r>
      <rPr>
        <sz val="11"/>
        <rFont val="Verdana"/>
        <family val="2"/>
      </rPr>
      <t xml:space="preserve"> (*):</t>
    </r>
  </si>
  <si>
    <r>
      <rPr>
        <sz val="11"/>
        <rFont val="宋体"/>
      </rPr>
      <t>授权人电话</t>
    </r>
    <r>
      <rPr>
        <sz val="11"/>
        <rFont val="Verdana"/>
        <family val="2"/>
      </rPr>
      <t xml:space="preserve"> (*):</t>
    </r>
  </si>
  <si>
    <r>
      <rPr>
        <sz val="11"/>
        <rFont val="宋体"/>
      </rPr>
      <t>授权日期</t>
    </r>
    <r>
      <rPr>
        <sz val="11"/>
        <rFont val="Verdana"/>
        <family val="2"/>
      </rPr>
      <t xml:space="preserve"> (*):</t>
    </r>
  </si>
  <si>
    <r>
      <t>金属 （</t>
    </r>
    <r>
      <rPr>
        <vertAlign val="superscript"/>
        <sz val="11"/>
        <rFont val="Calibri"/>
        <family val="2"/>
      </rPr>
      <t>*</t>
    </r>
    <r>
      <rPr>
        <sz val="11"/>
        <rFont val="Calibri"/>
        <family val="2"/>
      </rPr>
      <t>）</t>
    </r>
  </si>
  <si>
    <r>
      <t>冶炼厂参考目录 （</t>
    </r>
    <r>
      <rPr>
        <vertAlign val="superscript"/>
        <sz val="11"/>
        <rFont val="Calibri"/>
        <family val="2"/>
      </rPr>
      <t>*</t>
    </r>
    <r>
      <rPr>
        <sz val="11"/>
        <rFont val="Calibri"/>
        <family val="2"/>
      </rPr>
      <t>)</t>
    </r>
  </si>
  <si>
    <r>
      <t>冶炼工厂名称 (</t>
    </r>
    <r>
      <rPr>
        <vertAlign val="superscript"/>
        <sz val="11"/>
        <rFont val="Calibri"/>
        <family val="2"/>
      </rPr>
      <t>*</t>
    </r>
    <r>
      <rPr>
        <sz val="11"/>
        <rFont val="Calibri"/>
        <family val="2"/>
      </rPr>
      <t>)</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</si>
  <si>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</si>
  <si>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</si>
  <si>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</si>
  <si>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</si>
  <si>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这七个问题明确了每种金属的用途、原产地和采购识别信息。这些问题旨在收集关于公司产品中 3TG 使用情况的信息，以便可以确定法规适用情况。答题内容必须和在公司资料部分中所选择的”申报范围”相对应。此部分中的答题内容可用于确定 3TG 报告的使用情况和完整性。</t>
  </si>
  <si>
    <t>これらの7つの質問は各金属に関する使用法、原産地、調達先を明確にするものです。質問は、法規制の適用性を判定できるように御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</si>
  <si>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rFont val="Calibri"/>
        <family val="2"/>
      </rPr>
      <t>NOTE: Le minerai de conflit doit être contenu dans le produit pour être nécessaire à la fonctionalité d'un produit.</t>
    </r>
    <r>
      <rPr>
        <sz val="11"/>
        <rFont val="Verdana"/>
        <family val="2"/>
      </rPr>
      <t xml:space="preserve">
*(56296 Federal Register / Vol. 77, No. 177 / Wednesday, September 12, 2012 / Rules and Regulations)</t>
    </r>
  </si>
  <si>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</si>
  <si>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Answer the following questions 1 - 7 based on the declaration scope indicated above</t>
  </si>
  <si>
    <t>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t>
  </si>
  <si>
    <t>对于七个必答问题中的每个问题，使用下拉菜单选项提供每种金属的答复。必须为所有 3TG 完成此部分中的问题。如果给定金属的问题 1 和/或问题 2 答复是肯定的，则应完成该金属的后续问题，而且应完成关于公司的总体审核鉴定计划的后续审核鉴定问题（A 至 J）。</t>
  </si>
  <si>
    <t>7つの各質問には、各金属それぞれについてドロップダウンメニューから回答を選択してください。このセクションでの質問では、3TG全てについて記入する必要があります。ある金属に関する質問1および／又は質問2への回答が「はい」の場合は、その金属について以降の質問にも記入し、御社のデューデリジェンスプログラム全体に関する下記のデューデリジェンス関連の質問（A～J）にも記入する必要があります。</t>
  </si>
  <si>
    <t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</si>
  <si>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4. 此申报确定存在于产品中且对于该产品的功能有必要的 3TG 是否来自回收料或报废料。
以“是”、“否”或“不知道”来答复此问题。如果对问题 1 或问题 2 就特定金属的答复为“是”，必须为该金属回答此问题。
答复“是”表示 100% 的 3TG 来自回收料或报废料。答复“否”表示部分 3TG 不是来自回收料或报废料。答复“不知道”表示使用者不知道 100% 的 3TG 是否来自回收料或报废料。</t>
  </si>
  <si>
    <t>4.  これは、製品の機能性に必要であるためにその製品中に含まれる3TGが、リサイクル業者又はスクラップサプライヤーから調達されているかどうかを示す申告です。
「Yes（はい）」「No（いいえ）」又は「Unknown（不明）」で回答してください。この質問は、質問1又は2の回答が「Yes（はい）」の金属については必須となります。
「Yes（はい）」とは、紛争金属の全てをリサイクル業者又はスクラップサプライヤーから調達していることを意味します。「No（いいえ）」とは、3TGの一部はリサイクル業者又はスクラップサプライヤーから調達していないことを意味します。「Unknown（不明）」とは、3TGの全てがリサイクル業者又はスクラップサプライヤーから調達されているかどうかをユーザーが把握していないことを意味します。</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</si>
  <si>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oder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</si>
  <si>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t>
  </si>
  <si>
    <t>5. 此申报是要确定公司是否已经从合理相信提供本申报范围中的产品中含有的 3TG 的所有直接供应商得到冲突矿产披露。本问题的允许答复有：
- 是，100%
- 不是，但多于 75%
- 不是，但多于50%
- 不是，但多于 25%
- 不是，但小于 25%
- 没有
如果对问题 1 或问题 2 就特定金属的答复为“是”，必须为该金属回答此问题。</t>
  </si>
  <si>
    <t>5.  これは、企業が、この申告範囲内の製品に含まれる3TGを供給すると合理的に考えられる全ての直接サプライヤーから、紛争金属開示情報を受け取ったかどうかを判定する申告です。回答は、以下の中から選択してください。
­ Yes, 100%（はい、100％）
­ No, but greater than 75%（いいえ、しかし75%以上）
­ No, but greater than 50%（いいえ、しかし50%以上）
­ No, but greater than 25%（いいえ、しかし25%以上）
­ No, but less than 25%（いいえ、しかし25%未満）
­ None（ゼロ）
この質問は、質問1又は2の回答が「Yes（はい）」の該当金属には必須となります。</t>
  </si>
  <si>
    <t>5. Diese Erklärung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Ja, 100 %
­ Nein, aber mehr als 75 %
­ Nein, aber mehr als 50 %
­ Nein, aber mehr als 25 %
­ Nein, aber weniger als 25 %
­ Keine
Diese Frage muss für ein bestimmtes Metall beantwortet werden, wenn die Antwort auf Frage 1 oder 2 „Ja“ für dieses Metall lautet.</t>
  </si>
  <si>
    <t>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t>
  </si>
  <si>
    <t>6. 此问题是要核实供应商是否有理由相信他们已识别出提供此申报涵盖的产品中的 3TG 的所有冶炼厂。本问题的答复有“是”或“否”并就情况说明，如冶炼厂名单。如果对问题 1 或问题 2 就特定金属的答复为“是”，必须为该金属回答此问题。</t>
  </si>
  <si>
    <t>6.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又は2の回答が「Yes（はい）」の金属については必須となります。</t>
  </si>
  <si>
    <t>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t>
  </si>
  <si>
    <t>7. 此问题是要核实经确定为提供此申报范围涵盖的产品中含有的任何 3TG 的所有冶炼厂是否已在此申报中报告。本问题的答复有“是”或“否”并就情况说明，如冶炼厂名单。如果对问题 1 或问题 2 就特定金属的答复为“是”，必须为该金属回答此问题。</t>
  </si>
  <si>
    <t>D. 此申报是要确定公司要求直接供应商从经过确认的无使用冲突矿产的冶炼厂处采购冲突矿产。以“是”或“否”来答复此问题。此问题必须作答。</t>
  </si>
  <si>
    <t>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t>
  </si>
  <si>
    <t>F. 此申报是要披露公司是否要求供应商填写冲突矿产申报。本问题的答复有“是”或“否”并就情况说明，如提供用于收集信息的格式。此问题必须作答。</t>
  </si>
  <si>
    <t>F.  これは、企業がサプライヤーに対して、紛争鉱物申告に記入することを要求しているかどうかを開示する申告です。この質問の回答は「Yes（はい）」又は「No（いいえ）」で、場合によっては情報収集のために使用する形式を提供する目的などで、コメントを伴う場合もあります。この質問への回答は必須です。</t>
  </si>
  <si>
    <t>F. Dies ist eine Erklärung zur Offenlegung, ob ein Unternehmen von seinen Lieferanten verlangt, eine Erklärung zu Konfliktmineralien auszufüllen. Die Antwort auf diese Frage muss „Ja“ oder „Nein“ lauten, zusammen mit einem Kommentar in bestimmten Fällen, d. h. um das Format zur Erhebung von Informationen bereitzustellen. Diese Frage muss beantwortet werden.</t>
  </si>
  <si>
    <t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t>
  </si>
  <si>
    <t>不使用冲突矿产冶炼厂计划 (CFSP) 中的合规冶炼厂目录包含了所有被评估并且符合标准的冶炼厂和精炼厂。其中的标准有不使用冲突矿产冶炼厂计划 (CFSP)、不采购冲突矿产倡议计划 (CFSI) 或其它对等机构计划（如，责任珠宝委员会或伦敦金银市场协会）。如果冶炼厂或精炼厂不在目录内，则表示其未完成 CFSP 评估或不符合 CFSP 标准要求。
要查看经验证符合 CFSP 的冶炼厂和精炼厂目录，请访问 www.conflictfreesourcing.org。</t>
  </si>
  <si>
    <t>コンフリクトフリー製錬業者プログラム(CFSP)適合リストとは、CFSIのプログラムであるCFSP、又は責任あるジュエリー協議会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CFSP監査を完了していないか、又はCFSP基準に準拠していないかのどちらかです。
CFSPに適合していることが検証済みの製錬・精製業者のリストは、www.conflictfreesourcing.orgに掲載されています。</t>
  </si>
  <si>
    <t>1) Is the 3TG intentionally added to your product? (*)</t>
  </si>
  <si>
    <t>2) Is the 3TG necessary to the production of your company’s products and contained in the finished product that your company manufactures or contracts to manufacture?  (*)</t>
  </si>
  <si>
    <t xml:space="preserve">D.  御社は直接サプライヤーに対し、独立民間監査会社の監査プログラムによりデューデリジェンス業務が認証された製錬業者から3TGを調達することを要求していますか？ </t>
  </si>
  <si>
    <t>Smelter Reference List</t>
  </si>
  <si>
    <t>製錬業者参照表</t>
  </si>
  <si>
    <t>제련소 참조 리스트</t>
  </si>
  <si>
    <t>Liste des fonderies référencées</t>
  </si>
  <si>
    <t>Lista de referência de Fundições</t>
  </si>
  <si>
    <t>Schmelzhütten-Referenz-Liste</t>
  </si>
  <si>
    <t>Lista de referencia de fundidores</t>
  </si>
  <si>
    <r>
      <t xml:space="preserve">2. </t>
    </r>
    <r>
      <rPr>
        <sz val="10"/>
        <rFont val="宋体"/>
        <charset val="134"/>
      </rPr>
      <t xml:space="preserve">选择贵公司的申报范围。范围的选项为：
</t>
    </r>
    <r>
      <rPr>
        <sz val="10"/>
        <rFont val="Verdana"/>
        <family val="2"/>
      </rPr>
      <t xml:space="preserve">A. </t>
    </r>
    <r>
      <rPr>
        <sz val="10"/>
        <rFont val="宋体"/>
        <charset val="134"/>
      </rPr>
      <t xml:space="preserve">全公司
</t>
    </r>
    <r>
      <rPr>
        <sz val="10"/>
        <rFont val="Verdana"/>
        <family val="2"/>
      </rPr>
      <t xml:space="preserve">B. </t>
    </r>
    <r>
      <rPr>
        <sz val="10"/>
        <rFont val="宋体"/>
        <charset val="134"/>
      </rPr>
      <t xml:space="preserve">产品（或产品清单）
</t>
    </r>
    <r>
      <rPr>
        <sz val="10"/>
        <rFont val="Verdana"/>
        <family val="2"/>
      </rPr>
      <t xml:space="preserve">C. </t>
    </r>
    <r>
      <rPr>
        <sz val="10"/>
        <rFont val="宋体"/>
        <charset val="134"/>
      </rPr>
      <t>自定义</t>
    </r>
    <r>
      <rPr>
        <sz val="10"/>
        <rFont val="Verdana"/>
        <family val="2"/>
      </rPr>
      <t xml:space="preserve"> 
</t>
    </r>
    <r>
      <rPr>
        <sz val="10"/>
        <rFont val="宋体"/>
        <charset val="134"/>
      </rPr>
      <t>对于</t>
    </r>
    <r>
      <rPr>
        <sz val="10"/>
        <rFont val="Verdana"/>
        <family val="2"/>
      </rPr>
      <t>“</t>
    </r>
    <r>
      <rPr>
        <sz val="10"/>
        <rFont val="宋体"/>
        <charset val="134"/>
      </rPr>
      <t>全公司</t>
    </r>
    <r>
      <rPr>
        <sz val="10"/>
        <rFont val="Verdana"/>
        <family val="2"/>
      </rPr>
      <t>”</t>
    </r>
    <r>
      <rPr>
        <sz val="10"/>
        <rFont val="宋体"/>
        <charset val="134"/>
      </rPr>
      <t>，申报涵盖公司产品或母公司生产的产品物质整体。如果用户在公司级别报告冲突矿产数据，他们将报告关于他们生产的所有产品的冲突矿产数据。
如果选择范围为</t>
    </r>
    <r>
      <rPr>
        <sz val="10"/>
        <rFont val="Verdana"/>
        <family val="2"/>
      </rPr>
      <t>“</t>
    </r>
    <r>
      <rPr>
        <sz val="10"/>
        <rFont val="宋体"/>
        <charset val="134"/>
      </rPr>
      <t>产品（或产品清单）</t>
    </r>
    <r>
      <rPr>
        <sz val="10"/>
        <rFont val="Verdana"/>
        <family val="2"/>
      </rPr>
      <t>”</t>
    </r>
    <r>
      <rPr>
        <sz val="10"/>
        <rFont val="宋体"/>
        <charset val="134"/>
      </rPr>
      <t>，将显示产品清单的工作表选项卡。如果选择了此范围，则必须在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B </t>
    </r>
    <r>
      <rPr>
        <sz val="10"/>
        <rFont val="宋体"/>
        <charset val="134"/>
      </rPr>
      <t>列中列出此申报范围涵盖的产品的制造商产品序号。可以选择是否在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C </t>
    </r>
    <r>
      <rPr>
        <sz val="10"/>
        <rFont val="宋体"/>
        <charset val="134"/>
      </rPr>
      <t>列中列出制造商产品名称。
如果选择范围为</t>
    </r>
    <r>
      <rPr>
        <sz val="10"/>
        <rFont val="Verdana"/>
        <family val="2"/>
      </rPr>
      <t>“</t>
    </r>
    <r>
      <rPr>
        <sz val="10"/>
        <rFont val="宋体"/>
        <charset val="134"/>
      </rPr>
      <t>自定义</t>
    </r>
    <r>
      <rPr>
        <sz val="10"/>
        <rFont val="Verdana"/>
        <family val="2"/>
      </rPr>
      <t>”</t>
    </r>
    <r>
      <rPr>
        <sz val="10"/>
        <rFont val="宋体"/>
        <charset val="134"/>
      </rPr>
      <t>，用户必须描述冲突金属披露适用的范围。用户可以通过</t>
    </r>
    <r>
      <rPr>
        <sz val="10"/>
        <rFont val="Verdana"/>
        <family val="2"/>
      </rPr>
      <t>“</t>
    </r>
    <r>
      <rPr>
        <sz val="10"/>
        <rFont val="宋体"/>
        <charset val="134"/>
      </rPr>
      <t>自定义分类</t>
    </r>
    <r>
      <rPr>
        <sz val="10"/>
        <rFont val="Verdana"/>
        <family val="2"/>
      </rPr>
      <t>”</t>
    </r>
    <r>
      <rPr>
        <sz val="10"/>
        <rFont val="宋体"/>
        <charset val="134"/>
      </rPr>
      <t>描述冲突矿产披露适用的范围。应在供应商和申请方同意的文字栏内定义此分类的范围。此披露可能适用于公司的特定产品分类或类别。产品类别是可以采用行业认可的通用术语（例如，电容器）描述的一组产品。使用此分类时，用户应在指定自定义分类的产品中使用的每个</t>
    </r>
    <r>
      <rPr>
        <sz val="10"/>
        <rFont val="Verdana"/>
        <family val="2"/>
      </rPr>
      <t xml:space="preserve"> 3TG </t>
    </r>
    <r>
      <rPr>
        <sz val="10"/>
        <rFont val="宋体"/>
        <charset val="134"/>
      </rPr>
      <t>的查询列表中提供答复。
此栏必须填写。</t>
    </r>
  </si>
  <si>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</si>
  <si>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</si>
  <si>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</si>
  <si>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</si>
  <si>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</si>
  <si>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</si>
  <si>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</si>
  <si>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</si>
  <si>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</si>
  <si>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0"/>
        <rFont val="Verdana"/>
        <family val="2"/>
      </rPr>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r>
  </si>
  <si>
    <r>
      <rPr>
        <sz val="10"/>
        <rFont val="Verdana"/>
        <family val="2"/>
      </rPr>
      <t>필수 질문 일곱 개 각각에 대해, 풀다운 메뉴를 이용하여 각 광물에 대한 답변을 선택하십시오. 이 섹션의 질문은 모든 3TG에 대해서 작성되어야 합니다. 특정 광물에 대한 질문 1 및/또는 질문 2의 답변이 긍정적일 경우, 그 광물에 대한 후속 질문에 답변을 제공해야 하며 회사의 전체 실사 프로그램에 대한 다음의 실사 질문(A ~ J)에 답변을 제공해야 합니다.</t>
    </r>
  </si>
  <si>
    <r>
      <rPr>
        <sz val="10"/>
        <rFont val="Verdana"/>
        <family val="2"/>
      </rPr>
      <t>Pour chacune des sept questions requises, donnez une réponse pour chaque métal en utilisant le menu déroulant. Des réponses doivent être apportées aux questions de cette section pour chacun des 3TG. Si la réponse à la question 1 et/ou 2 est positive pour un métal donné, vous devez répondre aux questions suivantes pour ce métal, et répondre aux questions suivantes de diligence raisonnable (A à J) en prenant en compte le programme global de diligence raisonnable de votre société.</t>
    </r>
  </si>
  <si>
    <r>
      <rPr>
        <sz val="10"/>
        <rFont val="Verdana"/>
        <family val="2"/>
      </rPr>
      <t>Para cada uma das sete perguntas exigidas, forneça uma resposta para cada metal usando o menu de seleção disponível. As perguntas nessa seção devem ser respondidas para todos os metais de conflito. Se a resposta para determinado metal para as perguntas 1 e/ou 2 for positiva, as perguntas subsequentes devem ser respondidas para tal metal, e as seguintes perguntas de diligência devida (A a J) devem ser respondidas sobre o programa de diligência devida global da empresa.</t>
    </r>
  </si>
  <si>
    <r>
      <rPr>
        <sz val="10"/>
        <rFont val="Verdana"/>
        <family val="2"/>
      </rPr>
      <t>Geben Sie bei jeder der sieben obligatorischen Fragen eine Antwort für jedes Metall an, indem Sie eine Auswahl aus dem Pull-down-Menü treffen. Die Fragen in diesem Abschnitt müssen für alle 3TG-Mineralien beantwortet werden. Falls die Antwort auf Frage 1 und/oder Frage 2 für ein bestimmtes Metall positiv lautet, müssen die nachfolgenden Fragen für dieses Metall beantwortet werden und auch die folgenden Due-Diligence-Fragen (A bis J) bezüglich des allgemeinen Due-Diligence-Programms des Unternehmens müssen beantwortet werden.</t>
    </r>
  </si>
  <si>
    <r>
      <rPr>
        <sz val="10"/>
        <rFont val="Verdana"/>
        <family val="2"/>
      </rPr>
      <t xml:space="preserve">En cada una de las siete preguntas requeridas proporcione una respuesta para cada metal utilizando las selecciones del menú desplegable. Se deben completar las preguntas en esta sección para todo el 3TG.  Si la respuesta para un metal determinado es afirmativa en las preguntas 1 y/o 2, se deben responder las siguientes preguntas para ese metal, así como las siguientes preguntas de debida diligencia (de la A a la J) acerca del programa de debida diligencia de la compañía. </t>
    </r>
  </si>
  <si>
    <r>
      <rPr>
        <sz val="10"/>
        <rFont val="Verdana"/>
        <family val="2"/>
      </rPr>
      <t>Per ciascuna delle sette domande, si prega di fornire una risposta per ciascuno dei metalli usando il menu a tendina. Le domande di questa sezione devono essere completate per tutti i metalli di conflitto. Se una risposta per un determinato metallo alle domande 1 e/o 2 è positiva, allora devono essere completate quelle successive per quel metallo e devono essere completate le seguenti domande sul dovere di diligenza (dalla A alla J) sul programma complessivo del dovere di diligenza della società.</t>
    </r>
  </si>
  <si>
    <r>
      <rPr>
        <sz val="10"/>
        <rFont val="Verdana"/>
        <family val="2"/>
      </rPr>
      <t xml:space="preserve">4. 이것은 해당 제품의 기능을 위해 필요한 제품에 포함된 3TG가 재활용이나 폐자원에서 나온 것인지 여부를 식별하는 신고입니다. 
이 질문에 대한 답은 "Yes", "No", 또는 "Unknown"이 되어야 합니다. 이 질문은 만일 특정 광물에 대한 질문1 또는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r>
  </si>
  <si>
    <r>
      <rPr>
        <sz val="10"/>
        <rFont val="Verdana"/>
        <family val="2"/>
      </rPr>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ou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r>
  </si>
  <si>
    <r>
      <rPr>
        <sz val="10"/>
        <rFont val="Verdana"/>
        <family val="2"/>
      </rPr>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ou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r>
  </si>
  <si>
    <r>
      <rPr>
        <sz val="10"/>
        <rFont val="Verdana"/>
        <family val="2"/>
      </rPr>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o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r>
  </si>
  <si>
    <r>
      <rPr>
        <sz val="10"/>
        <rFont val="Verdana"/>
        <family val="2"/>
      </rPr>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o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r>
  </si>
  <si>
    <r>
      <rPr>
        <sz val="10"/>
        <rFont val="Verdana"/>
        <family val="2"/>
      </rPr>
      <t>5. 이것은 이 신고의 범위가 적용되는 제품에 포함된 3TG를 제공하고 있는 것으로 합리적으로 신뢰를 받고 있는 모든 직접 공급업체로부터 회사가 분쟁 광물 공개를 받았는지 여부를 결정하는 신고입니다. 이 질문에 허용되는 답변은 다음과 같습니다.
­ 예, 100%
­ 아니요, 하지만 75% 이상
­ 아니요, 하지만 50% 이상
­ 아니요, 하지만 25% 이상
­ 아니요, 하지만 25% 미만
­ 없음
이 질문은 만일 특정 광물에 대한 질문1 또는 질문2의 답이 그 광물에 대해 "Yes"라면 필수 사항입니다.</t>
    </r>
  </si>
  <si>
    <r>
      <rPr>
        <sz val="10"/>
        <rFont val="Verdana"/>
        <family val="2"/>
      </rPr>
      <t>5. Il s’agit d’une déclaration visant à déterminer si une société a reçu des déclarations de minerai de conflit en provenance de tous les fournisseurs directs raisonnablement susceptibles de fournir des 3TG contenus dans les produits couverts par la portée de cette déclaration Les réponses possibles à cette question sont :
­ Oui, 100 %
­ Non, mais plus de 75 %
­ Non, mais plus de 50 %
­ Non, mais plus de 25 %
­ Non, mais moins de 25 %
­ Aucun
cette question est obligatoire pour un métal donné si la réponse à la question 1 ou 2 est « oui » pour ce métal.</t>
    </r>
  </si>
  <si>
    <r>
      <rPr>
        <sz val="10"/>
        <rFont val="Verdana"/>
        <family val="2"/>
      </rPr>
      <t>5. Esta é uma declaração que determina se uma empresa recebeu ou não informações referentes a minerais de conflito de todos os fornecedores diretos que creem fornecer minerais contidos nnos produtos abrangidos pelo âmbito desta declaração. As respostas aceitáveis a esta pergunta são:
- Sim, 100%
- Não, mas superior a 75%
- Não, mas superior a 50%
- Não, mas superior a 25%
- Não, mas inferior a 25%
- Nenhum
Esta pergunta é obrigatória para um metal específico se a resposta às perguntas 1 e 2 for “Sim” para esse metal.</t>
    </r>
  </si>
  <si>
    <r>
      <rPr>
        <sz val="10"/>
        <rFont val="Verdana"/>
        <family val="2"/>
      </rPr>
      <t xml:space="preserve">5.  Esta es una declaración para determinar si una compañía ha recibido divulgaciones de minerales en conflicto de todos los proveedores directos que se piensa razonablemente que suministran 3TG contenido en los productos cubiertos en el enfoque de esta declaración.  Las respuestas permitidas para esta pregunta son: 
­ Sí, 100%
­ No, pero más de 75%
­ No, pero más de 50%
­ No, pero más de 25%
­ No, pero menos de 25%
­ Ninguno
Esta pregunta es obligatoria para un metal en específico si la respuesta a la Pregunta 1 o 2 es "sí" para ese metal. </t>
    </r>
  </si>
  <si>
    <r>
      <rPr>
        <sz val="10"/>
        <rFont val="Verdana"/>
        <family val="2"/>
      </rPr>
      <t>5. Questa è una dichiarazione al fine di determinare se una società ha ricevuto la dichiarazione sui metalli di conflitto da tutti i fornitori diretti ragionevolmente ritenuti fornitori di minerali di conflitto contenuti nei prodotti che rientrano nel campo di applicazione della presente dichiarazione. Le risposte a questa domanda sono:
Sì, 100%
No, ma maggiore del 75%
­ No, ma maggiore del 50%
 No, ma maggiore del 25%
­ No, ma minore del 25%
­ Nessuno
Questa domanda è obbligatoria per un metallo specifico se si è risposto "Sì" alla domanda 1 o 2 per quel metallo.</t>
    </r>
  </si>
  <si>
    <r>
      <rPr>
        <sz val="10"/>
        <rFont val="Verdana"/>
        <family val="2"/>
      </rPr>
      <t>6. 이 질문은 이 신고에 포함된 제품에 있는 3TG를 제공하는 모든 제련소를 공급업체가 식별했음을 신뢰할 이유가 있는지 여부를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</si>
  <si>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</si>
  <si>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</si>
  <si>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</si>
  <si>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6.  Esta pregunta confirma si el proveedor tiene razón para pensar que ha identificado a todos los fundidores que suministran 3TG en los productos cubiertos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</si>
  <si>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</si>
  <si>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7. 이 질문은 이 신고에 포함된 제품에 있는 3TG를 공급하는 모든 제련소가 이 신고에 보고되었는지를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</si>
  <si>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7. Cette question vise à vérifier que toutes les fonderies identifiées comme fournisseurs de quelconques 3TG contenus dans les produits couverts par la portée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</si>
  <si>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</si>
  <si>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7. Diese Frage bestätigt, dass alle Schmelzöfen, von denen bekannt ist, dass sie in den vom Umfang dieser Erklärung umfassten Produkten 3TG-Minerialien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</si>
  <si>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7. Esta pregunta confirma que todos los fundidores identificados como que suministran cualquiera de los 3TG contenidos en los productos cubiertos en el enfoque de esta declaración han sido reportados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</si>
  <si>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7. Questa domanda verifica che tutte le fonderie identificate quali fornitrici di qualsiasi metallo di conflitto contenuto nei prodotti inseriti nella presente dichiarazione sono state riportate in questa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</si>
  <si>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D. Il s’agit d’une déclaration visant à déterminer si une société impose à ses fournisseurs directs de s’approvisionner en minerai de conflit auprès de fonderies validées, dont l’approvisionnement n’alimente pas les conflits. La réponse à cette question doit être « oui » ou « non ». Cette question est obligatoire.</t>
    </r>
  </si>
  <si>
    <r>
      <rPr>
        <sz val="10"/>
        <rFont val="Verdana"/>
        <family val="2"/>
      </rPr>
      <t>D. Esta é uma declaração para determinar se uma empresa requer que seus fornecedores diretos tenham fontes de minerais de conflito validadas como sendo livres de conflitos. A resposta a esta pergunta deverá ser “Sim” ou “Não”. Esta pergunta é obrigatória.</t>
    </r>
  </si>
  <si>
    <r>
      <rPr>
        <sz val="10"/>
        <rFont val="Verdana"/>
        <family val="2"/>
      </rPr>
      <t>D. Dies ist eine Erklärung zur Bestimmung, ob ein Unternehmen verlangt, dass seine direkten Lieferanten Konfliktmineralien aus bestätigt konfliktfreien Schmelzöfen beschaffen. Die Antwort auf diese Frage muss „Ja“ oder „Nein“ lauten. Diese Frage muss beantwortet werden.</t>
    </r>
  </si>
  <si>
    <r>
      <rPr>
        <sz val="10"/>
        <rFont val="Verdana"/>
        <family val="2"/>
      </rPr>
      <t>D. Esta es una declaración para determinar si una compañía requiere que sus proveedores directos suministren minerales en conflicto de los fundidores validados sin conflicto.  La respuesta a esta pregunta debe ser "sí" o "no".  Esta pregunta es obligatoria.</t>
    </r>
  </si>
  <si>
    <r>
      <rPr>
        <sz val="10"/>
        <rFont val="Verdana"/>
        <family val="2"/>
      </rPr>
      <t>D. Questa è una dichiarazione volta a determinare se una società impone ai propri fornitori diretti di approvvigionare i minerali di conflitto da fonderie verificate libere da conflitti. La risposta a questa domanda può essere "sì" o "no". Questa domanda è obbligatoria.</t>
    </r>
  </si>
  <si>
    <r>
      <rPr>
        <sz val="10"/>
        <rFont val="Verdana"/>
        <family val="2"/>
      </rPr>
      <t>F. 이것은 회사가 해당 공급업체에서 분쟁 광물 신고를 작성하도록 요청하는지 여부를 공개하는 신고입니다. 이 질문에 대한 답변은 특정 사례의 의견(즉, 정보 수집을 위해 사용되는 형식을 제공하는 의견)과 함께 "Yes" 또는 "No"가 될 것입니다. 이 질문은 필수 사항입니다.</t>
    </r>
  </si>
  <si>
    <r>
      <rPr>
        <sz val="10"/>
        <rFont val="Verdana"/>
        <family val="2"/>
      </rPr>
      <t>F. Il s’agit d’une déclaration visant à indiquer si une société impose à ses fournisseurs de remplir une déclaration au sujet des minerais de conflit. La réponse à cette question doit être « oui » ou « non », accompagnée d’un commentaire dans certains cas, par exemple pour indiquer le format utilisé pour la collecte d’informations. Cette question est obligatoire.</t>
    </r>
  </si>
  <si>
    <r>
      <rPr>
        <sz val="10"/>
        <rFont val="Verdana"/>
        <family val="2"/>
      </rPr>
      <t>F. Esta é uma declaração para divulgar se uma empresa solicita a seu fornecedor que preencha uma declaração de minerais de conflito. A resposta a esta pergunta deverá ser “Sim” ou “Não”, com a adição de comentários em determinados casos, por exemplo, fornecer o formato utilizado para coletar informações. Esta pergunta é obrigatória.</t>
    </r>
  </si>
  <si>
    <r>
      <rPr>
        <sz val="10"/>
        <rFont val="Verdana"/>
        <family val="2"/>
      </rPr>
      <t>F. Esta es una declaración para revelar si una compañía solicita a su proveedor que llene una declaración de minerales en conflicto.  La respuesta a esta pregunta debe ser "sí" o "no" seguido de un comentario en ciertos casos; por ejemplo, proporcionar el formato utilizado en la recolección de información.  Esta pregunta es obligatoria.</t>
    </r>
  </si>
  <si>
    <r>
      <rPr>
        <sz val="10"/>
        <rFont val="Verdana"/>
        <family val="2"/>
      </rPr>
      <t>F. Questa è una dichiarazione volta a comunicare se una società richiede al proprio fornitore di compilare una dichiarazione relativa ai minerali di conflitto. La risposta al quesito deve essere "sì" o "no" con un commento in alcuni casi, ad esempio, indicare il formato utilizzato per la raccolta delle informazioni. Questa domanda è obbligatoria.</t>
    </r>
  </si>
  <si>
    <r>
      <rPr>
        <sz val="10"/>
        <rFont val="Verdana"/>
        <family val="2"/>
      </rPr>
      <t xml:space="preserve">La liste des fonderies conformes au Programme des fonderies hors conflits (Conflict-Free Smelter Program, CFSP) est une liste publiée des fonderies et affineurs qui ont suivi une évaluation par l’intermédiaire du CFSP, un programme de l’Initiative d’approvisionnement hors conflits (Conflict-Free Sourcing Initiative, CFSI)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CFSP, soit parce qu’il n’est pas conforme au protocole CFSP. 
Une liste des fonderies et affineurs qui ont été validés pour leur conformité au CFSP est disponible sur www.conflictfreesourcing.org. </t>
    </r>
  </si>
  <si>
    <r>
      <rPr>
        <sz val="10"/>
        <rFont val="Verdana"/>
        <family val="2"/>
      </rPr>
      <t xml:space="preserve">A Lista de fundições em conformidade com o Programa de fundições livres de conflito (Conflict-Free Smelter Program, CFSP) é uma lista publicada de fundições e refinarias que foram alvo de uma avaliação pelo CFSP, um programa da Iniciativa Livre de Conflitos (Conflict-Free Sourcing Initiative, CFSI) ou de um programa equivalente do setor (tal como o Responsible Jewellery Council ou a London Bullion Market Association), e foi validada como em conformidade com os protocolos. Se uma fundição ou refinaria não fizer parte da lista, ainda não passou pela avaliação pelo CFSP ou não cumpre o protocolo CSFP. 
A lista de fundições e refinarias que foram validadas como em conformidade com o CFSP pode ser encontrada em www.conflictfreesourcing.org. </t>
    </r>
  </si>
  <si>
    <r>
      <rPr>
        <sz val="10"/>
        <rFont val="Verdana"/>
        <family val="2"/>
      </rPr>
      <t xml:space="preserve">Die Liste mit Schmelzöfen, die das Programm zu konfliktfreien Schmelzöfen (Conflict-Free Smelter Program, CFSP) einhalten, ist eine veröffentlichte Liste mit Schmelzöfen und Raffinerien, die eine Beurteilung durch das CSFP durchlaufen haben, eines Programms der Initiative zur konfliktfreien Beschaffung (Conflict-Free Sourcing Initiative, CFSI)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CFSP durchlaufen oder hält das CFSP-Protokoll nicht ein. 
Eine Liste mit Schmelzöfen und Raffinerien, die eine Bestätigung ihrer Einhaltung des CFSP haben, kann auf www.conflictfreesourcing.org eingesehen werden. </t>
    </r>
  </si>
  <si>
    <r>
      <rPr>
        <sz val="10"/>
        <rFont val="Verdana"/>
        <family val="2"/>
      </rPr>
      <t xml:space="preserve">La Lista de Fundidores Conformes del Programa de Fundidores Sin Conflictos (Conflict-Free Smelter Program, CFSP) es una lista publicada de los fundidores y las refinerías que se han sometido a evaluación por medio del CFSP, un programa de la Iniciativa de Suministro Sin Conflicto (Conflict-Free Sourcing Initiative, CFSI) o el programa equivalente de la industria (como el Consejo de Joyería Responsable o la Asociación del Mercado de Lingote de Londres) y que se ha validado para cumplir con los protocolos.  Si un fundidor o una refinería no está en la lista, no ha completado la evaluación del CFSP o no cumple con el protocolo del CFSP.  
En www.conflictfreesourcing.org se puede encontrar una lista de fundidores y refinerías que se han validado en cumplimiento con el CFSP.  </t>
    </r>
  </si>
  <si>
    <r>
      <rPr>
        <sz val="10"/>
        <rFont val="Verdana"/>
        <family val="2"/>
      </rPr>
      <t xml:space="preserve">Il programma fonderie libere dai conflitti (Conflict-free Smelter Program, CFSP) è una lista pubblicata di fonderie e raffinerie che si sono sottoposte ad una valutazione attraverso il CFSP, un programma dell'iniziativa Fornitura Libera dai conflitti (Conflict Free Sourcing Initiative, CFSI)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CFSP. 
All'indirizzo www.conflictfreesourcing.org è possibile trovare una lista di fonderie e raffinerie che sono state validate in quanto conformi al CFSP.  </t>
    </r>
  </si>
  <si>
    <r>
      <rPr>
        <sz val="10"/>
        <rFont val="Verdana"/>
        <family val="2"/>
      </rPr>
      <t>1) 3TG 是否有意增加到贵公司的产品中？(*)</t>
    </r>
  </si>
  <si>
    <r>
      <rPr>
        <sz val="10"/>
        <rFont val="Verdana"/>
        <family val="2"/>
      </rPr>
      <t>1) 3TG가 귀사의 제품에 의도적으로 추가되어 있습니까?(*)</t>
    </r>
  </si>
  <si>
    <r>
      <rPr>
        <sz val="10"/>
        <rFont val="Verdana"/>
        <family val="2"/>
      </rPr>
      <t>1) Est-ce que les 3TG sont ajoutés volontairement à votre produit ? (*)</t>
    </r>
  </si>
  <si>
    <r>
      <rPr>
        <sz val="10"/>
        <rFont val="Verdana"/>
        <family val="2"/>
      </rPr>
      <t>1) O mineral de conflito é adicionado intencionalmente ao seu produto?(*)</t>
    </r>
  </si>
  <si>
    <r>
      <rPr>
        <sz val="10"/>
        <rFont val="Verdana"/>
        <family val="2"/>
      </rPr>
      <t>1) Wird das 3TG-Mineral Ihrem Produkt absichtlich hinzugefügt? (*)</t>
    </r>
  </si>
  <si>
    <r>
      <rPr>
        <sz val="10"/>
        <rFont val="Verdana"/>
        <family val="2"/>
      </rPr>
      <t xml:space="preserve">1) ¿Se añade intencionalmente el 3TG a su producto? (*) </t>
    </r>
  </si>
  <si>
    <r>
      <rPr>
        <sz val="10"/>
        <rFont val="Verdana"/>
        <family val="2"/>
      </rPr>
      <t>1) Il metallo di conflitto è intenzionalmente aggiunto ai vostri prodotti? (*)</t>
    </r>
  </si>
  <si>
    <r>
      <rPr>
        <sz val="10"/>
        <rFont val="Verdana"/>
        <family val="2"/>
      </rPr>
      <t>2) 3TG가 귀사의 제품 생산에 필요하며 귀사가 제조하거나 계약제조한 최종제품에 포함되어 있습니까?(*)</t>
    </r>
  </si>
  <si>
    <r>
      <rPr>
        <sz val="10"/>
        <rFont val="Verdana"/>
        <family val="2"/>
      </rPr>
      <t>2) Est-ce que les 3TG sont indispensables à la production des produits de votre société, et contenus dans le produit fini que votre société fabrique ou fait fabriquer ? (*)</t>
    </r>
  </si>
  <si>
    <r>
      <rPr>
        <sz val="10"/>
        <rFont val="Verdana"/>
        <family val="2"/>
      </rPr>
      <t>2) O mineral de conflito é necessário à produção dos produtos da sua empresa e está contido no produto acabado que sua empresa produz ou contrata para produzir? (*)</t>
    </r>
  </si>
  <si>
    <r>
      <rPr>
        <sz val="10"/>
        <rFont val="Verdana"/>
        <family val="2"/>
      </rPr>
      <t>2) Ist das 3TG-Mineral notwendig für die Herstellung der Produkte Ihres Unternehmens und ist es im Endprodukt enthalten, das Ihr Unternehmen herstellt oder im Auftrag herstellen lässt? (*)</t>
    </r>
  </si>
  <si>
    <r>
      <rPr>
        <sz val="10"/>
        <rFont val="Verdana"/>
        <family val="2"/>
      </rPr>
      <t xml:space="preserve">2) ¿Es necesario el 3TG para la fabricación de los productos de su compañía y está contenido en el producto terminado que fabrica su compañía o contrata para fabricar? (*) </t>
    </r>
  </si>
  <si>
    <r>
      <rPr>
        <sz val="10"/>
        <rFont val="Verdana"/>
        <family val="2"/>
      </rPr>
      <t>2) Il metallo di conflitto è necessario alla fabbricazione dei prodotti della vostra azienda e contenuto nei prodotti finiti che la vostra azienda produce o dei quali ha appaltato la produzione? (*)</t>
    </r>
  </si>
  <si>
    <r>
      <rPr>
        <sz val="10"/>
        <rFont val="Verdana"/>
        <family val="2"/>
      </rPr>
      <t xml:space="preserve">D. 您是否要求您的直接供应商从其审核鉴定惯例经独立的第三方审核机构验证过的冶炼厂采购 3TG？ </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</si>
  <si>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</si>
  <si>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</si>
  <si>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</si>
  <si>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0"/>
        <rFont val="Verdana"/>
        <family val="2"/>
      </rPr>
      <t xml:space="preserve">D. Richiedete ai vostri diretti fornitori di approvvigionarsi da fonderie che sono state certificate da parte di una società indipendente di certificazione del settore privato?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</si>
  <si>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</si>
  <si>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</si>
  <si>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</si>
  <si>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</si>
  <si>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</si>
  <si>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</si>
  <si>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</si>
  <si>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</si>
  <si>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</si>
  <si>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</si>
  <si>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</si>
  <si>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</si>
  <si>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</si>
  <si>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</si>
  <si>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</si>
  <si>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</si>
  <si>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</si>
  <si>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</si>
  <si>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</si>
  <si>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</si>
  <si>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</si>
  <si>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</si>
  <si>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</si>
  <si>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</si>
  <si>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</si>
  <si>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</si>
  <si>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5) Have you received data/information for each 3TG from all relevant suppliers?</t>
  </si>
  <si>
    <t xml:space="preserve">6) Have you identified all of the smelters supplying the 3TG to your supply chain? </t>
  </si>
  <si>
    <t xml:space="preserve">7) Has all applicable smelter information received by your company been reported in this declaration? </t>
  </si>
  <si>
    <t>4) 是否 100% 的 3TG（因产品功能或生产而必须使用）来源于回收料或报废料？</t>
  </si>
  <si>
    <t>5) 您是否从所有相关供应商收到过针对每种 3TG 的数据/信息？</t>
  </si>
  <si>
    <t>6) 您是否识别出为贵公司的供应链供应 3TG 的所有冶炼厂？</t>
  </si>
  <si>
    <t>7) 贵公司收到的所有适用冶炼厂信息是否已在此申报中报告?</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</si>
  <si>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</si>
  <si>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</si>
  <si>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</si>
  <si>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</si>
  <si>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5) Avez-vous reçu des données/informations pour chacun des 3TG de la part de tous les fournisseurs concernés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</si>
  <si>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</si>
  <si>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</si>
  <si>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</si>
  <si>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5) Você recebeu dados ou informações para cada mineral de conflito por parte de todos os fornecedores relevantes ?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</si>
  <si>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</si>
  <si>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</si>
  <si>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</si>
  <si>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5) ¿Ha recibido datos/información de cada 3TG de todos los proveedores pertinentes? </t>
  </si>
  <si>
    <t xml:space="preserve">6) ¿Ha identificado a todos los fundidores que suministran el 3TG a su cadena de suministro? </t>
  </si>
  <si>
    <t xml:space="preserve">7) ¿Se ha incluido en este declaración toda la información aplicable del fundidor recibida por su compañía? </t>
  </si>
  <si>
    <t xml:space="preserve">4) Il 100% dei metalli di conflitto (necessari per la funzionalità o per la produzione dei prodotti della vostra società) derivano da materiale di recupero o da scarti di fornitura? </t>
  </si>
  <si>
    <t xml:space="preserve">5) Avete ricevuto dati/informazioni relativi ai minerali di conflitto per ogni metallo da parte di tutti i fornitori rilevanti di metalli di conflitto?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</si>
  <si>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</si>
  <si>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</si>
  <si>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</si>
  <si>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</si>
  <si>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</si>
  <si>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</si>
  <si>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</si>
  <si>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</si>
  <si>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</si>
  <si>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</si>
  <si>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</si>
  <si>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</si>
  <si>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</si>
  <si>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</si>
  <si>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</si>
  <si>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</si>
  <si>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</si>
  <si>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</si>
  <si>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</si>
  <si>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</si>
  <si>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</si>
  <si>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</si>
  <si>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</si>
  <si>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</si>
  <si>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</si>
  <si>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</si>
  <si>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require your direct suppliers to source from smelters validated as DRC conflict-free using the Conflict-Free Sourcing Inititiave compliant smelter list on Declaration tab cell D75</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</si>
  <si>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</si>
  <si>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</si>
  <si>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</si>
  <si>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</si>
  <si>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</si>
  <si>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</si>
  <si>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</si>
  <si>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</si>
  <si>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</si>
  <si>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</si>
  <si>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</si>
  <si>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</si>
  <si>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</si>
  <si>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</si>
  <si>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</si>
  <si>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</si>
  <si>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</si>
  <si>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</si>
  <si>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</si>
  <si>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</si>
  <si>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</si>
  <si>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</si>
  <si>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</si>
  <si>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</si>
  <si>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</si>
  <si>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</si>
  <si>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</si>
  <si>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</si>
  <si>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</si>
  <si>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</si>
  <si>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</si>
  <si>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</si>
  <si>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</si>
  <si>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</si>
  <si>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</si>
  <si>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</si>
  <si>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</si>
  <si>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</si>
  <si>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</si>
  <si>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</si>
  <si>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</si>
  <si>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</si>
  <si>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</si>
  <si>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</si>
  <si>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</si>
  <si>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</si>
  <si>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</si>
  <si>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</si>
  <si>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</si>
  <si>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</si>
  <si>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</si>
  <si>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</si>
  <si>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</si>
  <si>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</si>
  <si>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</si>
  <si>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</si>
  <si>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</si>
  <si>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</si>
  <si>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</si>
  <si>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</si>
  <si>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</si>
  <si>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</si>
  <si>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</si>
  <si>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</si>
  <si>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</si>
  <si>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</si>
  <si>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</si>
  <si>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</si>
  <si>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</si>
  <si>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</si>
  <si>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</si>
  <si>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</si>
  <si>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</si>
  <si>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</si>
  <si>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</si>
  <si>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</si>
  <si>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</si>
  <si>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</si>
  <si>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</si>
  <si>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</si>
  <si>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</si>
  <si>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</si>
  <si>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</si>
  <si>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</si>
  <si>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</si>
  <si>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</si>
  <si>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</si>
  <si>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</si>
  <si>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</si>
  <si>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</si>
  <si>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</si>
  <si>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</si>
  <si>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</si>
  <si>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</si>
  <si>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</si>
  <si>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</si>
  <si>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</si>
  <si>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</si>
  <si>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</si>
  <si>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</si>
  <si>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</si>
  <si>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</si>
  <si>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</si>
  <si>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</si>
  <si>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</si>
  <si>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</si>
  <si>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A. Do you have a policy in place that addresses conflict minerals sourcing?</t>
  </si>
  <si>
    <t>B. Is your conflict minerals sourcing policy publicly available on your website? (Note – If yes, the user shall specify the URL in the comment field.)</t>
  </si>
  <si>
    <t>C. Do you require your direct suppliers to be DRC conflict-free?</t>
  </si>
  <si>
    <t>D. Do you require your direct suppliers to source the 3TG from smelters whose due diligence practices have been validated by an independent third party audit program?</t>
  </si>
  <si>
    <t>E. Have you implemented due diligence measures for conflict-free sourcing?</t>
  </si>
  <si>
    <t>F. Do you collect conflict minerals due diligence information from your suppliers which is in conformance with the IPC-1755 Conflict Minerals Data Exchange standard [e.g., the CFSI Conflict Minerals Reporting Template]?</t>
  </si>
  <si>
    <t>G. Do you request smelter names from your suppliers?</t>
  </si>
  <si>
    <t>H. Do you review due diligence information received from your suppliers against your company’s expectations?</t>
  </si>
  <si>
    <t>I. Does your review process include corrective action management?</t>
  </si>
  <si>
    <t>J. Are you subject to the SEC Conflict Minerals rule?</t>
  </si>
  <si>
    <t>Click here to enter the products this declaration applies to</t>
  </si>
  <si>
    <t>D11</t>
  </si>
  <si>
    <t>J63</t>
  </si>
  <si>
    <t>J64</t>
  </si>
  <si>
    <t>J65</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</si>
  <si>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</si>
  <si>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</si>
  <si>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</si>
  <si>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</si>
  <si>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CFSI</t>
  </si>
  <si>
    <t>Warwick</t>
  </si>
  <si>
    <t>Rhode Island</t>
  </si>
  <si>
    <t>Fuchu</t>
  </si>
  <si>
    <t>Tokyo</t>
  </si>
  <si>
    <t>Pforzheim</t>
  </si>
  <si>
    <t>Baden-Württemberg</t>
  </si>
  <si>
    <t>Almalyk</t>
  </si>
  <si>
    <t>Tashkent Province</t>
  </si>
  <si>
    <t>AngloGold Ashanti Córrego do Sítio Mineração</t>
  </si>
  <si>
    <t>Nova Lima</t>
  </si>
  <si>
    <t>Minas Gerais</t>
  </si>
  <si>
    <t>Mendrisio</t>
  </si>
  <si>
    <t>Ticino</t>
  </si>
  <si>
    <t>Kobe</t>
  </si>
  <si>
    <t>Hyogo</t>
  </si>
  <si>
    <t>Amagasaki Factory, Hyogo Prefecture, Japan</t>
  </si>
  <si>
    <t>Tamura</t>
  </si>
  <si>
    <t>Fukushima</t>
  </si>
  <si>
    <t>Istanbul</t>
  </si>
  <si>
    <t>Istanbul Province</t>
  </si>
  <si>
    <t>Hamburg</t>
  </si>
  <si>
    <t>Hamburg State</t>
  </si>
  <si>
    <t>Norddeutsche Affinererie AG</t>
  </si>
  <si>
    <t>Manila</t>
  </si>
  <si>
    <t>Skelleftehamn</t>
  </si>
  <si>
    <t>Västerbotten</t>
  </si>
  <si>
    <t>Nacozari</t>
  </si>
  <si>
    <t>Sonora</t>
  </si>
  <si>
    <t>Montréal</t>
  </si>
  <si>
    <t>Quebec</t>
  </si>
  <si>
    <t>CCR</t>
  </si>
  <si>
    <t>Xstrata</t>
  </si>
  <si>
    <t>Biel-Bienne</t>
  </si>
  <si>
    <t>Bern</t>
  </si>
  <si>
    <t>Kunming</t>
  </si>
  <si>
    <t>Yunnan</t>
  </si>
  <si>
    <t>CHALCO Yunnan Copper Co. Ltd.</t>
  </si>
  <si>
    <t>Arezzo</t>
  </si>
  <si>
    <t>Tuscany</t>
  </si>
  <si>
    <t>Chiyoda</t>
  </si>
  <si>
    <t>Namdong</t>
  </si>
  <si>
    <t>Incheon</t>
  </si>
  <si>
    <t>Daejin Industry</t>
  </si>
  <si>
    <t>Huangshi</t>
  </si>
  <si>
    <t>Huabei</t>
  </si>
  <si>
    <t>Gimpo</t>
  </si>
  <si>
    <t>Gyeonggi</t>
  </si>
  <si>
    <t>Kosaka</t>
  </si>
  <si>
    <t>Akita</t>
  </si>
  <si>
    <t>Dowa Kogyo k.k.</t>
  </si>
  <si>
    <t>Dowa Metalmine Co. Ltd</t>
  </si>
  <si>
    <t>Dowa Metals &amp; Mining Co. Ltd</t>
  </si>
  <si>
    <t>Honjo</t>
  </si>
  <si>
    <t>Saitama</t>
  </si>
  <si>
    <t>Novosibirsk</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</si>
  <si>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</si>
  <si>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</si>
  <si>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</si>
  <si>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</si>
  <si>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</si>
  <si>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</si>
  <si>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</si>
  <si>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</si>
  <si>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</si>
  <si>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</si>
  <si>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</si>
  <si>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</si>
  <si>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Hesse</t>
  </si>
  <si>
    <t>Changsha</t>
  </si>
  <si>
    <t>Hunan Chenzhou Mining Industry Co. Ltd.</t>
  </si>
  <si>
    <t>Danwon</t>
  </si>
  <si>
    <t>Hohhot</t>
  </si>
  <si>
    <t>Inner Mongolia</t>
  </si>
  <si>
    <t>Soka</t>
  </si>
  <si>
    <t>Kuyumcukent</t>
  </si>
  <si>
    <t>Osaka</t>
  </si>
  <si>
    <t>Kansai</t>
  </si>
  <si>
    <t>Guixi City</t>
  </si>
  <si>
    <t>Jiangxi</t>
  </si>
  <si>
    <t>JCC</t>
  </si>
  <si>
    <t>Salt Lake City</t>
  </si>
  <si>
    <t>Utah</t>
  </si>
  <si>
    <t>Johnson Matthey Inc. (USA)</t>
  </si>
  <si>
    <t>Brampton</t>
  </si>
  <si>
    <t>Ontario</t>
  </si>
  <si>
    <t>Verkhnyaya Pyshma</t>
  </si>
  <si>
    <t>Sverdlovsk</t>
  </si>
  <si>
    <t>Kazzinc</t>
  </si>
  <si>
    <t>Ust-Kamenogorsk</t>
  </si>
  <si>
    <t>Magna</t>
  </si>
  <si>
    <t>Sayama</t>
  </si>
  <si>
    <t>Kojima Kagaku Yakuhin Co., Ltd</t>
  </si>
  <si>
    <t>Seoul</t>
  </si>
  <si>
    <t>Bishkek</t>
  </si>
  <si>
    <t>Chuy Province</t>
  </si>
  <si>
    <t>Riyadh</t>
  </si>
  <si>
    <t>Riyadh Province</t>
  </si>
  <si>
    <t>Lingbao</t>
  </si>
  <si>
    <t>Henan</t>
  </si>
  <si>
    <t>Onsan-eup</t>
  </si>
  <si>
    <t>Ulsan</t>
  </si>
  <si>
    <t>Luoyang Zijin Yinhui Gold Refinery Co., Ltd.</t>
  </si>
  <si>
    <t>Luoyang</t>
  </si>
  <si>
    <t>Buffalo</t>
  </si>
  <si>
    <t>New York</t>
  </si>
  <si>
    <t>Iruma</t>
  </si>
  <si>
    <t>Metalor Technologies (Suzhou) Ltd.</t>
  </si>
  <si>
    <t>CID001147</t>
  </si>
  <si>
    <t>Suzhou Industrial Park</t>
  </si>
  <si>
    <t>Jiangsu</t>
  </si>
  <si>
    <t>Kwai Chung</t>
  </si>
  <si>
    <t>Tuas</t>
  </si>
  <si>
    <t>Singapore</t>
  </si>
  <si>
    <t>Marin</t>
  </si>
  <si>
    <t>Neuchâtel</t>
  </si>
  <si>
    <t>North Attleboro</t>
  </si>
  <si>
    <t>Massachusetts</t>
  </si>
  <si>
    <t>Torreon</t>
  </si>
  <si>
    <t>Coahuila</t>
  </si>
  <si>
    <t>Naoshima</t>
  </si>
  <si>
    <t>Hiroshima</t>
  </si>
  <si>
    <t>Takehara</t>
  </si>
  <si>
    <t>Mitsui Kinzoku Co., Ltd.</t>
  </si>
  <si>
    <t>Obrucheva</t>
  </si>
  <si>
    <t>Bahçelievler</t>
  </si>
  <si>
    <t>Navoi</t>
  </si>
  <si>
    <t>Navoi Province</t>
  </si>
  <si>
    <t>Noda</t>
  </si>
  <si>
    <t>Chiba</t>
  </si>
  <si>
    <t>Jackson</t>
  </si>
  <si>
    <t>Ohio</t>
  </si>
  <si>
    <t>Nara-shi</t>
  </si>
  <si>
    <t>Nara</t>
  </si>
  <si>
    <t>Krasnoyarsk</t>
  </si>
  <si>
    <t>Krasnoyarsk Krai</t>
  </si>
  <si>
    <t>OJSC Krastsvetmet</t>
  </si>
  <si>
    <t>Castel San Pietro</t>
  </si>
  <si>
    <t>Yantai</t>
  </si>
  <si>
    <t>Shandong</t>
  </si>
  <si>
    <t>Kasimov</t>
  </si>
  <si>
    <t>Ryazan</t>
  </si>
  <si>
    <t>Jakarta</t>
  </si>
  <si>
    <t>Java</t>
  </si>
  <si>
    <t>La Chaux-de-Fonds</t>
  </si>
  <si>
    <t>Germiston</t>
  </si>
  <si>
    <t>Gauteng</t>
  </si>
  <si>
    <t>Ottawa</t>
  </si>
  <si>
    <t>Williston</t>
  </si>
  <si>
    <t>North Dakota</t>
  </si>
  <si>
    <t>Samdok Metal</t>
  </si>
  <si>
    <t>SD (Samdok) Metal</t>
  </si>
  <si>
    <t>Changwon</t>
  </si>
  <si>
    <t>Gyeongsangnam</t>
  </si>
  <si>
    <t>Amsterdam</t>
  </si>
  <si>
    <t>North Holland</t>
  </si>
  <si>
    <t>Madrid</t>
  </si>
  <si>
    <t>Community of 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</si>
  <si>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</si>
  <si>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</si>
  <si>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</si>
  <si>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</si>
  <si>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</si>
  <si>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</si>
  <si>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</si>
  <si>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</si>
  <si>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</si>
  <si>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Long Island City</t>
  </si>
  <si>
    <t>Shyolkovo</t>
  </si>
  <si>
    <t>Moscow Region</t>
  </si>
  <si>
    <t>Tainan City</t>
  </si>
  <si>
    <t>Taiwan</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</si>
  <si>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</si>
  <si>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</si>
  <si>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</si>
  <si>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</si>
  <si>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</si>
  <si>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</si>
  <si>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</si>
  <si>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</si>
  <si>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</si>
  <si>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</si>
  <si>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</si>
  <si>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</si>
  <si>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</si>
  <si>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</si>
  <si>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Chungcheong</t>
  </si>
  <si>
    <t>Guarulhos</t>
  </si>
  <si>
    <t>São Paulo</t>
  </si>
  <si>
    <t>Hoboken</t>
  </si>
  <si>
    <t>Antwerp</t>
  </si>
  <si>
    <t>Alden</t>
  </si>
  <si>
    <t>Balerna</t>
  </si>
  <si>
    <t>Newburn</t>
  </si>
  <si>
    <t>Western Australia</t>
  </si>
  <si>
    <t>AGR Mathey</t>
  </si>
  <si>
    <t>AGR(Perth Mint Australia)</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</si>
  <si>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</si>
  <si>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</si>
  <si>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</si>
  <si>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</si>
  <si>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</si>
  <si>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</si>
  <si>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</si>
  <si>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</si>
  <si>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</si>
  <si>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</si>
  <si>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</si>
  <si>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</si>
  <si>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</si>
  <si>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</si>
  <si>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</si>
  <si>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Dokmai</t>
  </si>
  <si>
    <t>Pravet</t>
  </si>
  <si>
    <t>Geib Refining Corporation</t>
  </si>
  <si>
    <t>CID002459</t>
  </si>
  <si>
    <t>Mewat</t>
  </si>
  <si>
    <t>Haryana</t>
  </si>
  <si>
    <t>Miami</t>
  </si>
  <si>
    <t>Florida</t>
  </si>
  <si>
    <t>Lubin</t>
  </si>
  <si>
    <t>Lower Silesian Voivodeship</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</si>
  <si>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</si>
  <si>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</si>
  <si>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</si>
  <si>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</si>
  <si>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</si>
  <si>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</si>
  <si>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</si>
  <si>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</si>
  <si>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</si>
  <si>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</si>
  <si>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</si>
  <si>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</si>
  <si>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</si>
  <si>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</si>
  <si>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Khartoum State</t>
  </si>
  <si>
    <t>CID002580</t>
  </si>
  <si>
    <t>Capolona</t>
  </si>
  <si>
    <t>CID002605</t>
  </si>
  <si>
    <t>Gangnam</t>
  </si>
  <si>
    <t>Changsha Southern</t>
  </si>
  <si>
    <t>Conghua</t>
  </si>
  <si>
    <t>Sihui City</t>
  </si>
  <si>
    <t>Pompano Beach</t>
  </si>
  <si>
    <t>Jiangmen</t>
  </si>
  <si>
    <t>F &amp; X</t>
  </si>
  <si>
    <t>Yingde</t>
  </si>
  <si>
    <t>Hi-Temp Specialty Metals, Inc.</t>
  </si>
  <si>
    <t>Yaphank</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</si>
  <si>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</si>
  <si>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</si>
  <si>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</si>
  <si>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</si>
  <si>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</si>
  <si>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</si>
  <si>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</si>
  <si>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</si>
  <si>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</si>
  <si>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</si>
  <si>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</si>
  <si>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</si>
  <si>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</si>
  <si>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</si>
  <si>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</si>
  <si>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</si>
  <si>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</si>
  <si>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</si>
  <si>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Perm Krai</t>
  </si>
  <si>
    <t>Harima</t>
  </si>
  <si>
    <t>Telex Metals</t>
  </si>
  <si>
    <t>Croydon</t>
  </si>
  <si>
    <t>Pennsylvania</t>
  </si>
  <si>
    <t>Ulba Metallurgical Plant JSC</t>
  </si>
  <si>
    <t>East Kazakhstan</t>
  </si>
  <si>
    <t>Zhuzhou Cemented Carbide Group</t>
  </si>
  <si>
    <t>Zhuzhou Cemented Carbide Works Imp. &amp; Exp. Co.</t>
  </si>
  <si>
    <t>Yichun</t>
  </si>
  <si>
    <t>Hengyang</t>
  </si>
  <si>
    <t>Gastonia</t>
  </si>
  <si>
    <t>North Carolina</t>
  </si>
  <si>
    <t>YunFu City</t>
  </si>
  <si>
    <t>Fengxin</t>
  </si>
  <si>
    <t>Matamoros</t>
  </si>
  <si>
    <t>Tamaulipas</t>
  </si>
  <si>
    <t>Liezen</t>
  </si>
  <si>
    <t>Styria</t>
  </si>
  <si>
    <t>Map Ta Phut</t>
  </si>
  <si>
    <t>Rayong</t>
  </si>
  <si>
    <t>Goslar</t>
  </si>
  <si>
    <t>Lower Saxony</t>
  </si>
  <si>
    <t>Laufenburg</t>
  </si>
  <si>
    <t>Hermsdorf</t>
  </si>
  <si>
    <t>Thuringia</t>
  </si>
  <si>
    <t>Newton</t>
  </si>
  <si>
    <t>Mito</t>
  </si>
  <si>
    <t>Ibaraki</t>
  </si>
  <si>
    <t>Reutte</t>
  </si>
  <si>
    <t>Tyrol</t>
  </si>
  <si>
    <t>Boyertown</t>
  </si>
  <si>
    <t>Aizuwakamatsu</t>
  </si>
  <si>
    <t>Mound House</t>
  </si>
  <si>
    <t>Nevada</t>
  </si>
  <si>
    <t>Tranzact, Inc.</t>
  </si>
  <si>
    <t>CID002571</t>
  </si>
  <si>
    <t>Lancaster</t>
  </si>
  <si>
    <t>CID002707</t>
  </si>
  <si>
    <t>Minas gerais</t>
  </si>
  <si>
    <t>Phoenix Metal Ltd.</t>
  </si>
  <si>
    <t>Jabana</t>
  </si>
  <si>
    <t>Kigali</t>
  </si>
  <si>
    <t>Jiangxi Ketai Advanced Material Co., Ltd.</t>
  </si>
  <si>
    <t>Hezhou</t>
  </si>
  <si>
    <t>Guangxi</t>
  </si>
  <si>
    <t>PGMA</t>
  </si>
  <si>
    <t>Altoona</t>
  </si>
  <si>
    <t>Alent plc</t>
  </si>
  <si>
    <t>Alpha Metals Taiwan</t>
  </si>
  <si>
    <t>Alpha Metals</t>
  </si>
  <si>
    <t>Cookson (Alpha Metals Taiwan)</t>
  </si>
  <si>
    <t>Cookson Alpha Metals (Shenzhen) Co., Ltd.</t>
  </si>
  <si>
    <t>Cooperativa Metalurgica de Rondônia Ltda.</t>
  </si>
  <si>
    <t>Ariquemes</t>
  </si>
  <si>
    <t>Rondonia</t>
  </si>
  <si>
    <t>Sungailiat</t>
  </si>
  <si>
    <t>Bangka</t>
  </si>
  <si>
    <t>Kabupaten</t>
  </si>
  <si>
    <t>Pangkalan</t>
  </si>
  <si>
    <t>Pangkal Pinang</t>
  </si>
  <si>
    <t>Dowa Metaltech Co., Ltd.</t>
  </si>
  <si>
    <t>Oruro</t>
  </si>
  <si>
    <t>Cercado</t>
  </si>
  <si>
    <t>Rondônia</t>
  </si>
  <si>
    <t>Halsbrücke</t>
  </si>
  <si>
    <t>Saxony</t>
  </si>
  <si>
    <t>Chmielów</t>
  </si>
  <si>
    <t>Subcarpathian Voivodeship</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</si>
  <si>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</si>
  <si>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</si>
  <si>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</si>
  <si>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</si>
  <si>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</si>
  <si>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</si>
  <si>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</si>
  <si>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</si>
  <si>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</si>
  <si>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Penang</t>
  </si>
  <si>
    <t>CID001142</t>
  </si>
  <si>
    <t>Twinsburg</t>
  </si>
  <si>
    <t>Bairro Guarapiranga</t>
  </si>
  <si>
    <t>Toboca/ Paranapenema</t>
  </si>
  <si>
    <t>Paracas</t>
  </si>
  <si>
    <t>Ica</t>
  </si>
  <si>
    <t>Funsur Smelter</t>
  </si>
  <si>
    <t>Asago</t>
  </si>
  <si>
    <t>CID001231</t>
  </si>
  <si>
    <t>Nanshan Tin Co. Ltd.</t>
  </si>
  <si>
    <t>Chonburi</t>
  </si>
  <si>
    <t>Operaciones Metalurgical S.A.</t>
  </si>
  <si>
    <t>Lintang</t>
  </si>
  <si>
    <t>PT Indra Eramult Logam Industri</t>
  </si>
  <si>
    <t>Kepulauan Riau</t>
  </si>
  <si>
    <t>Karimun</t>
  </si>
  <si>
    <t>Brand RBT</t>
  </si>
  <si>
    <t>West Java</t>
  </si>
  <si>
    <t>PT Timah (Persero) Tbk Kundur</t>
  </si>
  <si>
    <t>Kundur</t>
  </si>
  <si>
    <t>Riau Islands</t>
  </si>
  <si>
    <t>Kundur Smelter</t>
  </si>
  <si>
    <t>Mentok</t>
  </si>
  <si>
    <t>Longtan Shiang Taoyuang</t>
  </si>
  <si>
    <t>Bebedouro</t>
  </si>
  <si>
    <t>Amphur Muang</t>
  </si>
  <si>
    <t>Phuket</t>
  </si>
  <si>
    <t>Thailand Smelting &amp; Refining Co Ltd</t>
  </si>
  <si>
    <t>Gejiu Yunxin Nonferrous Electrolysis Co., Ltd.</t>
  </si>
  <si>
    <t>CID001908</t>
  </si>
  <si>
    <t>The Gejiu cloud new colored electrolytic</t>
  </si>
  <si>
    <t>Yunan Gejiu Yunxin Electrolyze Limited</t>
  </si>
  <si>
    <t>VQB Mineral and Trading Group JSC</t>
  </si>
  <si>
    <t>CID002015</t>
  </si>
  <si>
    <t>Nguyen Van Ngoc</t>
  </si>
  <si>
    <t>Hanoi</t>
  </si>
  <si>
    <t>White Solder Metalurgica</t>
  </si>
  <si>
    <t>Yunnan Adventure Co., Ltd.</t>
  </si>
  <si>
    <t>Yunnan wind Nonferrous Metals Co., Ltd.</t>
  </si>
  <si>
    <t>Bogor</t>
  </si>
  <si>
    <t>Topang Island</t>
  </si>
  <si>
    <t>Riau Province</t>
  </si>
  <si>
    <t>Cavite Economic Zone</t>
  </si>
  <si>
    <t>Rosario Cavite</t>
  </si>
  <si>
    <t>CV Ayi Jaya</t>
  </si>
  <si>
    <t>CID002570</t>
  </si>
  <si>
    <t>Electro-Mechanical Facility of the Cao Bang Minerals &amp; Metallurgy Joint Stock Company</t>
  </si>
  <si>
    <t>CID002572</t>
  </si>
  <si>
    <t>Tinh Tuc</t>
  </si>
  <si>
    <t>Cao Bang</t>
  </si>
  <si>
    <t>Nghe Tinh Non-Ferrous Metals Joint Stock Company</t>
  </si>
  <si>
    <t>CID002573</t>
  </si>
  <si>
    <t>Quy Hop</t>
  </si>
  <si>
    <t>Nghe An</t>
  </si>
  <si>
    <t>Tuyen Quang Non-Ferrous Metals Joint Stock Company</t>
  </si>
  <si>
    <t>CID002574</t>
  </si>
  <si>
    <t>Tan Quang</t>
  </si>
  <si>
    <t>Tuyen Quang</t>
  </si>
  <si>
    <t>PT Cipta Persada Mulia</t>
  </si>
  <si>
    <t>CID002696</t>
  </si>
  <si>
    <t>CID002706</t>
  </si>
  <si>
    <t>Metallo-Chimique N.V.</t>
  </si>
  <si>
    <t>CID002773</t>
  </si>
  <si>
    <t>Beerse</t>
  </si>
  <si>
    <t>CID002774</t>
  </si>
  <si>
    <t>Berango</t>
  </si>
  <si>
    <t>Vizcaya</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</si>
  <si>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</si>
  <si>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</si>
  <si>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</si>
  <si>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</si>
  <si>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</si>
  <si>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</si>
  <si>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</si>
  <si>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</si>
  <si>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</si>
  <si>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</si>
  <si>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</si>
  <si>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</si>
  <si>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</si>
  <si>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Quang Ninh</t>
  </si>
  <si>
    <t>St. Martin i-S</t>
  </si>
  <si>
    <t>WBH,Wolfram [Austria]</t>
  </si>
  <si>
    <t>WBH</t>
  </si>
  <si>
    <t>Xiamen</t>
  </si>
  <si>
    <t>Shaoguan</t>
  </si>
  <si>
    <t>Shaoguan Xinhai Rendan Tungsten Industry Co. Ltd</t>
  </si>
  <si>
    <t>Gao'an</t>
  </si>
  <si>
    <t>Tonggu</t>
  </si>
  <si>
    <t>Nanfeng Xiaozhai</t>
  </si>
  <si>
    <t>Xiamen H.C.</t>
  </si>
  <si>
    <t>Xiushui</t>
  </si>
  <si>
    <t>Vinh Bao District</t>
  </si>
  <si>
    <t>Hai Phong</t>
  </si>
  <si>
    <t>Dayu Country</t>
  </si>
  <si>
    <t>Dai Tu</t>
  </si>
  <si>
    <t>Thai Nguyen</t>
  </si>
  <si>
    <t>Hunan Chuangda Vanadium Tungsten Co., Ltd. Wuji</t>
  </si>
  <si>
    <t>CID002579</t>
  </si>
  <si>
    <t>Niagara Refining LLC</t>
  </si>
  <si>
    <t>CID002589</t>
  </si>
  <si>
    <t>Depew</t>
  </si>
  <si>
    <t>Hydrometallurg, JSC</t>
  </si>
  <si>
    <t>CID002649</t>
  </si>
  <si>
    <t>Nalchik</t>
  </si>
  <si>
    <t>Kabardino-Balkar Republic</t>
  </si>
  <si>
    <t>F3</t>
  </si>
  <si>
    <t>Click here to check required fields completion</t>
  </si>
  <si>
    <t>I3</t>
  </si>
  <si>
    <t>One (1) or more required fields needs to be populated</t>
  </si>
  <si>
    <t>Smelter not listed</t>
  </si>
  <si>
    <t>Independent Third-Party Audit Firm</t>
  </si>
  <si>
    <t>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</si>
  <si>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Smelter List - Tantalum</t>
  </si>
  <si>
    <t>Smelter List - Tin</t>
  </si>
  <si>
    <t>Smelter List - Gold</t>
  </si>
  <si>
    <t>Smelter List - Tungsten</t>
  </si>
  <si>
    <t>CheckerJ63</t>
  </si>
  <si>
    <t>CheckerJ64</t>
  </si>
  <si>
    <t>CheckerJ65</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</si>
  <si>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</si>
  <si>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</si>
  <si>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</si>
  <si>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</si>
  <si>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</si>
  <si>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</si>
  <si>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</si>
  <si>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</si>
  <si>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</si>
  <si>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</si>
  <si>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</si>
  <si>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</si>
  <si>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</si>
  <si>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</si>
  <si>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</si>
  <si>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</si>
  <si>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</si>
  <si>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</si>
  <si>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</si>
  <si>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</si>
  <si>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</si>
  <si>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</si>
  <si>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</si>
  <si>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</si>
  <si>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</si>
  <si>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</si>
  <si>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</si>
  <si>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点击此处输入此申报所适用的产品</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</si>
  <si>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</si>
  <si>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</si>
  <si>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</si>
  <si>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</si>
  <si>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</si>
  <si>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</si>
  <si>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</si>
  <si>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 xml:space="preserve">F. 您是否有按照 IPC-1755 冲突矿产数据交换标准的要求从供应商收集冲突矿产审核鉴定信息 [例如，CFSI 冲突矿产报告模板]？  </t>
  </si>
  <si>
    <t xml:space="preserve">F. 귀사는 공급업체로부터 IPC-1755 분쟁 광물 데이터 교환 기준에 따른 분쟁 광물 실사 정보를 수집하고 있습니까 [예를 들면, CFSI 분쟁광물 보고 템플릿]？ </t>
  </si>
  <si>
    <t xml:space="preserve">F. Est-ce que vous recueillez les informations de diligence raisonnable concernant les minerais de conflit auprès de vos fournisseurs, conformément à la norme IPC-1755 en matière d’échange de données sur les minerais de conflit [par exemple, le modèle de rapport sur les minéraux des conflits de l'Initiative d'approvisionnement hors conflit (Conflict-free Sourcing Initiative, CFSI)] ? </t>
  </si>
  <si>
    <t>F. Você coleta informações de diligência devida de minerais de conflito de seus fornecedores que estejam em conformidade com a norma IPC-1755 de troca de dados sobre minerais de conflito (por exemplo, o Modelo de relatório de minerais de conflito da Iniciativa Livre de Conflitos [Conflict-Free Sourcing Initiative, CFSI])？</t>
  </si>
  <si>
    <t xml:space="preserve">F.  ¿Recolecta la información de debida diligencia de minerales en conflicto de los proveedores, la cual cumpla con el estándar IPC-1755 de Intercambio de datos de minerales en conflicto [por ejemplo, la Plantilla de reporte de minerales en conflicto CFSI]？ </t>
  </si>
  <si>
    <t xml:space="preserve">F. Avete raccolto informazioni di dovuta diligenza sui minerali di conflitto dai vostri fornitori, che siano in conformità con lo standard Conflict Minerals Data Exchange IPC-1755 [ad esempio il modello del rapporto sui minerali del conflitto di CFSI]？ </t>
  </si>
  <si>
    <t>填写</t>
  </si>
  <si>
    <t>記入</t>
  </si>
  <si>
    <t>완료</t>
  </si>
  <si>
    <t>Complétez</t>
  </si>
  <si>
    <t>Concluído</t>
  </si>
  <si>
    <t>Vollständig</t>
  </si>
  <si>
    <t>Completare</t>
  </si>
  <si>
    <t>在“申报”选项卡 D8 单元格中提供您的公司名称</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</si>
  <si>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</si>
  <si>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</si>
  <si>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</si>
  <si>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</si>
  <si>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</si>
  <si>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</si>
  <si>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</si>
  <si>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</si>
  <si>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</si>
  <si>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</si>
  <si>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</si>
  <si>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</si>
  <si>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</si>
  <si>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</si>
  <si>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</si>
  <si>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</si>
  <si>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</si>
  <si>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</si>
  <si>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</si>
  <si>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</si>
  <si>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</si>
  <si>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</si>
  <si>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</si>
  <si>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</si>
  <si>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</si>
  <si>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</si>
  <si>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</si>
  <si>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</si>
  <si>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</si>
  <si>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</si>
  <si>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</si>
  <si>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D17 单元格中提供联系人的电话号码</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</si>
  <si>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</si>
  <si>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</si>
  <si>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</si>
  <si>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</si>
  <si>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</si>
  <si>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</si>
  <si>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</si>
  <si>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</si>
  <si>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</si>
  <si>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</si>
  <si>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</si>
  <si>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</si>
  <si>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</si>
  <si>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</si>
  <si>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</si>
  <si>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D21 单元格中提供授权公司代表的电话号码</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</si>
  <si>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</si>
  <si>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</si>
  <si>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</si>
  <si>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</si>
  <si>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</si>
  <si>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</si>
  <si>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</si>
  <si>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</si>
  <si>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</si>
  <si>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</si>
  <si>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</si>
  <si>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</si>
  <si>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</si>
  <si>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</si>
  <si>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</si>
  <si>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在“申报”选项卡 D26 单元格中申报钽是否有意增加到贵公司的产品中</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</si>
  <si>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</si>
  <si>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</si>
  <si>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</si>
  <si>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</si>
  <si>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</si>
  <si>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</si>
  <si>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</si>
  <si>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在“申报”选项卡 D27 单元格中申报锡是否有意增加到贵公司的产品中</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</si>
  <si>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</si>
  <si>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</si>
  <si>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</si>
  <si>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</si>
  <si>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</si>
  <si>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</si>
  <si>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</si>
  <si>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在“申报”选项卡 D28 单元格中申报金是否有意增加到贵公司的产品中</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</si>
  <si>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</si>
  <si>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</si>
  <si>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</si>
  <si>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</si>
  <si>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</si>
  <si>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</si>
  <si>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</si>
  <si>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在“申报”选项卡 D29 单元格中申报钨是否有意增加到贵公司的产品中</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</si>
  <si>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</si>
  <si>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</si>
  <si>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</si>
  <si>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</si>
  <si>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</si>
  <si>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</si>
  <si>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</si>
  <si>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</si>
  <si>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</si>
  <si>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</si>
  <si>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</si>
  <si>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</si>
  <si>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</si>
  <si>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</si>
  <si>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</si>
  <si>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</si>
  <si>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</si>
  <si>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</si>
  <si>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</si>
  <si>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</si>
  <si>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</si>
  <si>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</si>
  <si>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</si>
  <si>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</si>
  <si>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</si>
  <si>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</si>
  <si>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</si>
  <si>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</si>
  <si>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</si>
  <si>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</si>
  <si>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</si>
  <si>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</si>
  <si>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</si>
  <si>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</si>
  <si>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</si>
  <si>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</si>
  <si>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</si>
  <si>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</si>
  <si>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</si>
  <si>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在“申报”选项卡 D38 单元格中申报在此调查回答内申报的产品范围内使用的钽的源产地是否为刚果民主共和国或毗邻受管制国家</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</si>
  <si>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</si>
  <si>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</si>
  <si>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</si>
  <si>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</si>
  <si>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</si>
  <si>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</si>
  <si>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</si>
  <si>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在“申报”选项卡 D39 单元格中申报在此调查回答内申报的产品范围内使用的锡的源产地是否为刚果民主共和国或毗邻受管制国家</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</si>
  <si>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</si>
  <si>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</si>
  <si>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</si>
  <si>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</si>
  <si>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</si>
  <si>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</si>
  <si>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</si>
  <si>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在“申报”选项卡 D40 单元格中申报在此调查回答内申报的产品范围内使用的金的源产地是否为刚果民主共和国或毗邻受管制国家</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</si>
  <si>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</si>
  <si>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</si>
  <si>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</si>
  <si>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</si>
  <si>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</si>
  <si>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</si>
  <si>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</si>
  <si>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在“申报”选项卡 D41 单元格中申报在此调查回答内申报的产品范围内使用的钨的源产地是否为刚果民主共和国或毗邻受管制国家</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</si>
  <si>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</si>
  <si>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</si>
  <si>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</si>
  <si>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</si>
  <si>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</si>
  <si>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</si>
  <si>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</si>
  <si>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在“申报”选项卡 D44 单元格中申报在此调查回答内申报的产品范围内使用的钽是否完全来自回收料或报废料</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</si>
  <si>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</si>
  <si>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</si>
  <si>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</si>
  <si>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</si>
  <si>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</si>
  <si>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</si>
  <si>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</si>
  <si>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在“申报”选项卡 D45 单元格中申报在此调查回答内申报的产品范围内使用的锡是否完全来自回收料或报废料</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</si>
  <si>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</si>
  <si>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</si>
  <si>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</si>
  <si>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</si>
  <si>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</si>
  <si>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</si>
  <si>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</si>
  <si>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在“申报”选项卡 D46 单元格中申报在此调查回答内申报的产品范围内使用的金是否完全来自回收料或报废料</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</si>
  <si>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</si>
  <si>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</si>
  <si>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</si>
  <si>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</si>
  <si>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</si>
  <si>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</si>
  <si>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</si>
  <si>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在“申报”选项卡 D47 单元格中申报在此调查回答内申报的产品范围内使用的钨是否完全来自回收料或报废料</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</si>
  <si>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</si>
  <si>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</si>
  <si>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</si>
  <si>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</si>
  <si>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</si>
  <si>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</si>
  <si>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</si>
  <si>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在“申报”选项卡 D50 单元格中提供供应商的冶炼厂信息填写百分比</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</si>
  <si>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</si>
  <si>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</si>
  <si>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</si>
  <si>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</si>
  <si>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</si>
  <si>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</si>
  <si>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</si>
  <si>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在“申报”选项卡 D51 单元格中提供供应商的冶炼厂信息填写百分比</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</si>
  <si>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</si>
  <si>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</si>
  <si>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</si>
  <si>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</si>
  <si>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</si>
  <si>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</si>
  <si>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</si>
  <si>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在“申报”选项卡 D52 单元格中提供供应商的冶炼厂信息填写百分比</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</si>
  <si>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</si>
  <si>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</si>
  <si>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</si>
  <si>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</si>
  <si>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</si>
  <si>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</si>
  <si>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</si>
  <si>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在“申报”选项卡 D53 单元格中提供供应商的冶炼厂信息填写百分比</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</si>
  <si>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</si>
  <si>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</si>
  <si>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</si>
  <si>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</si>
  <si>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</si>
  <si>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</si>
  <si>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</si>
  <si>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在“申报”选项卡 D56 单元格中申报是否在此调查回答内的申报产品范围下面提供了所有冶炼厂名称</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</si>
  <si>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</si>
  <si>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</si>
  <si>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</si>
  <si>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</si>
  <si>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</si>
  <si>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</si>
  <si>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</si>
  <si>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在“申报”选项卡 D57 单元格中申报是否在此调查回答内的申报产品范围下面提供了所有冶炼厂名称</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</si>
  <si>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</si>
  <si>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</si>
  <si>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</si>
  <si>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</si>
  <si>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</si>
  <si>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</si>
  <si>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</si>
  <si>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在“申报”选项卡 D58 单元格中申报是否在此调查回答内的申报产品范围下面提供了所有冶炼厂名称</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</si>
  <si>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</si>
  <si>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</si>
  <si>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</si>
  <si>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</si>
  <si>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</si>
  <si>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</si>
  <si>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</si>
  <si>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在“申报”选项卡 D59 单元格中申报是否在此调查回答内的申报产品范围下面提供了所有冶炼厂名称</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</si>
  <si>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</si>
  <si>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</si>
  <si>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</si>
  <si>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</si>
  <si>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</si>
  <si>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</si>
  <si>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</si>
  <si>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在“申报”选项卡 D62 单元格中申报是否已提供所有适用钽冶炼厂信息</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</si>
  <si>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</si>
  <si>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</si>
  <si>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</si>
  <si>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</si>
  <si>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</si>
  <si>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</si>
  <si>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</si>
  <si>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在“申报”选项卡 D63 单元格中申报是否已提供所有适用锡冶炼厂信息</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</si>
  <si>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</si>
  <si>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</si>
  <si>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</si>
  <si>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</si>
  <si>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</si>
  <si>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</si>
  <si>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</si>
  <si>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在“申报”选项卡 D64 单元格中申报是否已提供所有适用金冶炼厂信息</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</si>
  <si>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</si>
  <si>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</si>
  <si>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</si>
  <si>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</si>
  <si>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</si>
  <si>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</si>
  <si>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</si>
  <si>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在“申报”选项卡 D65 单元格中申报是否已提供所有适用钨冶炼厂信息</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</si>
  <si>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</si>
  <si>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</si>
  <si>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</si>
  <si>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</si>
  <si>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</si>
  <si>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</si>
  <si>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</si>
  <si>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在“申报”选项卡 D69 单元格中回答贵公司是否有刚果民主共和国无冲突采购政策</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</si>
  <si>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</si>
  <si>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</si>
  <si>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</si>
  <si>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</si>
  <si>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</si>
  <si>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</si>
  <si>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</si>
  <si>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在“申报”选项卡 D71 单元格中回答贵公司是否在贵公司的网站上公开发布刚果民主共和国无冲突采购政策</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</si>
  <si>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</si>
  <si>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</si>
  <si>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</si>
  <si>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</si>
  <si>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</si>
  <si>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</si>
  <si>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</si>
  <si>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如果您对问题 B 回答“是”，则在“申报”工作表的 G71 单元格中输入 URL。URL 的格式应为 "www.companyname.com" </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</si>
  <si>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</si>
  <si>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</si>
  <si>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</si>
  <si>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</si>
  <si>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</si>
  <si>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</si>
  <si>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</si>
  <si>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在“申报”选项卡 D73 单元格中回答贵公司是否要求直接供应商符合刚果民主共和国无冲突</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</si>
  <si>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</si>
  <si>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</si>
  <si>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</si>
  <si>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</si>
  <si>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</si>
  <si>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</si>
  <si>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</si>
  <si>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在“申报”选项卡 D75 单元格中回答贵公司是否要求直接供应商从使用无冲突采购举措合规冶炼厂目录验证为刚果民主共和国无冲突的冶炼厂采购</t>
  </si>
  <si>
    <t>御社が直接サプライヤーに対し、コンフリクトフリー調達イニシアチブに適合する精錬業者リストを使用しDRCコンフリクトフリーと認定された精錬業者から調達することを要求する場合は、「申告」タブのD75に回答してください</t>
  </si>
  <si>
    <t xml:space="preserve">신고(Declaration) 탭의 D75 셀에 분쟁으로부터 자유로운 광물 구매 이니셔티브(Conflict-Free Sourcing Initiative) 준수 제련소 목록을 사용해 콩고공화국 분쟁으로부터 자유롭다고 확인된 제련소에서 귀사의 직접 공급업체가 광물을 구매하도록 귀사에서 요구하는지 여부를 답변하십시오. </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</si>
  <si>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</si>
  <si>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Responda se você exige que seus fornecedores diretos busquem seus suprimentos em fundições validadas como livres de conflito na República Democrática do Congo utilizando a lista de fundições em conformidade com a CFSI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</si>
  <si>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</si>
  <si>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</si>
  <si>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</si>
  <si>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在“申报”选项卡 D77 单元格中回答贵公司是否已实施无冲突矿产采购尽职调查措施</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</si>
  <si>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</si>
  <si>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</si>
  <si>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</si>
  <si>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</si>
  <si>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</si>
  <si>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</si>
  <si>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</si>
  <si>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在“申报”选项卡 D79 单元格中回答贵公司是否要求供应商填写此冲突矿产报告模板</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</si>
  <si>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</si>
  <si>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</si>
  <si>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</si>
  <si>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</si>
  <si>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</si>
  <si>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</si>
  <si>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</si>
  <si>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在“申报”选项卡 D81 单元格中回答贵公司是否要求供应商提供冶炼厂名称</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</si>
  <si>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</si>
  <si>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</si>
  <si>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</si>
  <si>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</si>
  <si>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</si>
  <si>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</si>
  <si>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</si>
  <si>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在“申报”选项卡 D83 单元格中回答贵公司是否根据贵公司的期望验证供应商的回答</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</si>
  <si>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</si>
  <si>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</si>
  <si>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</si>
  <si>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</si>
  <si>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</si>
  <si>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</si>
  <si>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</si>
  <si>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在“申报”选项卡 D85 单元格中回答贵公司的验证流程是否包括纠正措施管理</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</si>
  <si>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</si>
  <si>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</si>
  <si>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</si>
  <si>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</si>
  <si>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</si>
  <si>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</si>
  <si>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</si>
  <si>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在“申报”选项卡 D87 单元格中回答贵公司是否必须遵守 SEC 披露要求</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</si>
  <si>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</si>
  <si>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</si>
  <si>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</si>
  <si>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</si>
  <si>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</si>
  <si>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</si>
  <si>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</si>
  <si>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如果合适，提供此申报所适用的 1 个或多个产品或项目编号。从“申报”选项卡的 6H1 单元格中选择超链接以进入“产品清单”选项卡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</si>
  <si>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</si>
  <si>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</si>
  <si>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</si>
  <si>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</si>
  <si>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</si>
  <si>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</si>
  <si>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</si>
  <si>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在“冶炼厂目录”选项卡中提供向供应链提供材料的冶炼厂目录</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</si>
  <si>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</si>
  <si>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</si>
  <si>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</si>
  <si>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</si>
  <si>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</si>
  <si>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</si>
  <si>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</si>
  <si>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在“冶炼厂目录”选项卡中提供向供应链提供材料的钽冶炼厂目录</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</si>
  <si>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</si>
  <si>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</si>
  <si>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</si>
  <si>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</si>
  <si>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</si>
  <si>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</si>
  <si>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在“冶炼厂目录”选项卡中提供向供应链提供材料的锡冶炼厂目录</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</si>
  <si>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</si>
  <si>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</si>
  <si>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</si>
  <si>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</si>
  <si>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</si>
  <si>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</si>
  <si>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在“冶炼厂目录”选项卡中提供向供应链提供材料的金冶炼厂目录</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</si>
  <si>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</si>
  <si>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</si>
  <si>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</si>
  <si>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</si>
  <si>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</si>
  <si>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</si>
  <si>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在“冶炼厂目录”选项卡中提供向供应链提供材料的钨冶炼厂目录</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</si>
  <si>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</si>
  <si>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</si>
  <si>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</si>
  <si>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</si>
  <si>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</si>
  <si>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</si>
  <si>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</si>
  <si>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</si>
  <si>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</si>
  <si>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</si>
  <si>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</si>
  <si>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</si>
  <si>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</si>
  <si>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</si>
  <si>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</si>
  <si>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D. 이것은 회사가1차 협력사 에게 검증된 분쟁으로부터 자유로운 제련소에서 분쟁 광물을 구매하도록 요구하는지 여부를 결정하는 신고입니다. 이 질문에 대한 답은 "Yes" 또는 "No"여야 합니다. 이 질문은 필수 사항입니다.</t>
  </si>
  <si>
    <t>E. 귀사가 분쟁광물 공급 실사 수단을 시행하고 있는 지 여부를 밝히기 위해 "Yes" 또는 "No"로 대답하시오. 이 신고는 회사의 실사 수단의 상세를 말하기 위해 의도된 것이 아니고 단지 회사가 실수 수단을 시행하고 있는 지를 위함입니다. 수용가능한 실사 수단이라는 측면은 요구자와 공급자에 의해 결정됩니다.
실사 수단의 예는 분쟁에서 자유로운 물질 공급망에 대한 당신의 기대 논의되고 계약에 삽입되었는지, 공급망에서의 위험이 식별되고 평가되었는지, 식별된 위험에 대한 조치 전략이 고안되고 시행되었는지, 1차 협력사의 DRC 분쟁 없는 (광물) 정책에 대한 준수가 확인되었는지 등이다. 이러한 실사 수단의 예는 국제적으로 인정된 OECD Guidance에 포함된 규정들에 일치합니다.</t>
  </si>
  <si>
    <t>Please answer Questions 1 and 2 on Declaration tab</t>
  </si>
  <si>
    <t>L62</t>
  </si>
  <si>
    <t>L63</t>
  </si>
  <si>
    <t>L64</t>
  </si>
  <si>
    <t>L65</t>
  </si>
  <si>
    <t>在“申报”选项卡 D26, D32
请回答问题</t>
  </si>
  <si>
    <t>宣言]タブの[質問1と2をお答えください</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</si>
  <si>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</si>
  <si>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</si>
  <si>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</si>
  <si>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</si>
  <si>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</si>
  <si>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2.  御社の申告範囲を選択してください。範囲の選択肢は以下のとおりです: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</si>
  <si>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7.  この質問は、この申告の対象となる製品に含まれるあらゆる3TGを供給していると特定された全ての製錬業者が、この申告で報告されていることを検証します。この質問の回答は、「Yes（はい）」又は「No（いいえ）」です（例：製錬業者のリスト）。この質問は、質問1又は2の回答が「Yes（はい）」の金属については必須となります。</t>
  </si>
  <si>
    <t>意図的な付加とは、通常、製品の特性、外観又は品質を保持するために、製品の製造において継続的に使用されることが望まれる物質（この場合は金属）の計画的な使用として知られている。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</si>
  <si>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1)3TGは御社の製品に意図的に付加されていますか？(*)</t>
  </si>
  <si>
    <r>
      <t xml:space="preserve">F.  御社はサプライヤーから、IPC-1755紛争鉱物データ交換規格に適合する紛争鉱物デューデリジェンス情報を収集しますか </t>
    </r>
    <r>
      <rPr>
        <sz val="10"/>
        <rFont val="Calibri"/>
        <family val="2"/>
      </rPr>
      <t xml:space="preserve">[例：CFSI紛争鉱物報告テンプレート]？ </t>
    </r>
  </si>
  <si>
    <t>D.  これは、企業が直接サプライヤーに対し、認証されたコンフリクトフリーの製錬業者から3TGを調達することを要求するかどうかを判定する申告です。「Yes（はい）」又は「No（いいえ）」で回答してください。この質問への回答は必須です。</t>
  </si>
  <si>
    <t>製錬所監査について、「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</si>
  <si>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Toyama City</t>
  </si>
  <si>
    <t>Toyama</t>
  </si>
  <si>
    <t>Yuanling</t>
  </si>
  <si>
    <t>Akita City</t>
  </si>
  <si>
    <t>TayNinh</t>
  </si>
  <si>
    <t>An Vinh Joint Stock Mineral Processing Company</t>
  </si>
  <si>
    <t>CID002703</t>
  </si>
  <si>
    <t>CV Nurjanah</t>
  </si>
  <si>
    <t>Cooper Santa</t>
  </si>
  <si>
    <t>OMSA</t>
  </si>
  <si>
    <t>Met-Mex Penoles, S.A.</t>
  </si>
  <si>
    <t>Aida Chemical Industries Co., Ltd.</t>
  </si>
  <si>
    <t>Asaka Riken Co., Ltd.</t>
  </si>
  <si>
    <t>Yunnan Copper Industry Co., Ltd.</t>
  </si>
  <si>
    <t>CNMC (Guangxi) PGMA Co., Ltd.</t>
  </si>
  <si>
    <t>Daejin Indus Co., Ltd.</t>
  </si>
  <si>
    <t>Gansu Seemine Material Hi-Tech Co., Ltd.</t>
  </si>
  <si>
    <t>Gejiu Non-Ferrous Metal Processing Co., Ltd.</t>
  </si>
  <si>
    <t>Huichang Jinshunda Tin Co., Ltd.</t>
  </si>
  <si>
    <t>Johnson Matthey Inc.</t>
  </si>
  <si>
    <t>Johnson Matthey Limited</t>
  </si>
  <si>
    <t>King-Tan Tantalum Industry Ltd.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</si>
  <si>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</si>
  <si>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</si>
  <si>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</si>
  <si>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</si>
  <si>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</si>
  <si>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</si>
  <si>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</si>
  <si>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</si>
  <si>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</si>
  <si>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</si>
  <si>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</si>
  <si>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</si>
  <si>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</si>
  <si>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</si>
  <si>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</si>
  <si>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</si>
  <si>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</si>
  <si>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</si>
  <si>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</si>
  <si>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</si>
  <si>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</si>
  <si>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</si>
  <si>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</si>
  <si>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Yichun Jin Yang Rare Metal Co., Ltd.</t>
  </si>
  <si>
    <t>Magnu's Minerais Metais e Ligas Ltda.</t>
  </si>
  <si>
    <t>PT Wahana Perkit Jaya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</si>
  <si>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</si>
  <si>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</si>
  <si>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</si>
  <si>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</si>
  <si>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</si>
  <si>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</si>
  <si>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</si>
  <si>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</si>
  <si>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</si>
  <si>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</si>
  <si>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</si>
  <si>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</si>
  <si>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</si>
  <si>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</si>
  <si>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</si>
  <si>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</si>
  <si>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</si>
  <si>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B.您的无冲突矿产采购政策公开在贵公司的网页上吗？（备注：如是，请注明具体网页信息。）</t>
  </si>
  <si>
    <t>A.你是否已制定不使用冲突矿产的采购政策?</t>
  </si>
  <si>
    <t>A. Gibt es in Ihrem Unternehmen eine Richtlinie zur Beschaffung von  Konfliktmineralien?</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</si>
  <si>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</si>
  <si>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</si>
  <si>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 xml:space="preserve">F. Erheben Sie von Ihren Lieferanten Due-Diligence-Informationen zu Konfliktmineralien gemäß Richtlinie IPC-1755 „Conflict Minerals Data Exchange Standard“ [z. B. CFSI Conflict Minerals Reporting Template]？ </t>
  </si>
  <si>
    <t>G. Verlangen Sie von Ihren Lieferanten die Namen der Schmelzhütten?</t>
  </si>
  <si>
    <t>H. Überprüfen Sie die Due-Diligence-Informationen, die Sie von ihren Lieferanten erhalten, anhand der Erwartungen Ihres Unternehmens?</t>
  </si>
  <si>
    <t>I. Sieht Ihr Review-Prozess ein Korrekturmaßnahmen-Management vor?</t>
  </si>
  <si>
    <t>B. Ist Ihre Richtlinie zur Beschaffung von Konfliktmineralien öffentlich auf ihrer Website verfügbar? (Hinweis: Wenn "Ja" geben Sie die URL im Feld "Kommentar" an.)</t>
  </si>
  <si>
    <t xml:space="preserve">5) 관련된 모든 공급 협력사로부터 각 3TG에 대한 데이터/정보를 받았습니까? (*)  </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</si>
  <si>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</si>
  <si>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</si>
  <si>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</si>
  <si>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</si>
  <si>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</si>
  <si>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</si>
  <si>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</si>
  <si>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r>
      <rPr>
        <sz val="10"/>
        <rFont val="BatangChe"/>
        <family val="3"/>
        <charset val="129"/>
      </rPr>
      <t>분쟁으로부터</t>
    </r>
    <r>
      <rPr>
        <sz val="10"/>
        <rFont val="Verdana"/>
        <family val="2"/>
      </rPr>
      <t xml:space="preserve"> </t>
    </r>
    <r>
      <rPr>
        <sz val="10"/>
        <rFont val="BatangChe"/>
        <family val="3"/>
        <charset val="129"/>
      </rPr>
      <t>자유로운</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평가</t>
    </r>
    <r>
      <rPr>
        <sz val="10"/>
        <rFont val="Verdana"/>
        <family val="2"/>
      </rPr>
      <t xml:space="preserve"> </t>
    </r>
    <r>
      <rPr>
        <sz val="10"/>
        <rFont val="BatangChe"/>
        <family val="3"/>
        <charset val="129"/>
      </rPr>
      <t>프로그램</t>
    </r>
    <r>
      <rPr>
        <sz val="10"/>
        <rFont val="Verdana"/>
        <family val="2"/>
      </rPr>
      <t xml:space="preserve">(CFSP) </t>
    </r>
    <r>
      <rPr>
        <sz val="10"/>
        <rFont val="BatangChe"/>
        <family val="3"/>
        <charset val="129"/>
      </rPr>
      <t>준수</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리스트는</t>
    </r>
    <r>
      <rPr>
        <sz val="10"/>
        <rFont val="Verdana"/>
        <family val="2"/>
      </rPr>
      <t xml:space="preserve"> CFSI(Conflict-Free Sourcing Initiative) 의 CFSP </t>
    </r>
    <r>
      <rPr>
        <sz val="10"/>
        <rFont val="BatangChe"/>
        <family val="3"/>
        <charset val="129"/>
      </rPr>
      <t>또는</t>
    </r>
    <r>
      <rPr>
        <sz val="10"/>
        <rFont val="Verdana"/>
        <family val="2"/>
      </rPr>
      <t xml:space="preserve"> </t>
    </r>
    <r>
      <rPr>
        <sz val="10"/>
        <rFont val="BatangChe"/>
        <family val="3"/>
        <charset val="129"/>
      </rPr>
      <t>산업계에서의</t>
    </r>
    <r>
      <rPr>
        <sz val="10"/>
        <rFont val="Verdana"/>
        <family val="2"/>
      </rPr>
      <t xml:space="preserve"> </t>
    </r>
    <r>
      <rPr>
        <sz val="10"/>
        <rFont val="BatangChe"/>
        <family val="3"/>
        <charset val="129"/>
      </rPr>
      <t>유사</t>
    </r>
    <r>
      <rPr>
        <sz val="10"/>
        <rFont val="Verdana"/>
        <family val="2"/>
      </rPr>
      <t xml:space="preserve"> </t>
    </r>
    <r>
      <rPr>
        <sz val="10"/>
        <rFont val="BatangChe"/>
        <family val="3"/>
        <charset val="129"/>
      </rPr>
      <t>프로그램</t>
    </r>
    <r>
      <rPr>
        <sz val="10"/>
        <rFont val="Verdana"/>
        <family val="2"/>
      </rPr>
      <t>(</t>
    </r>
    <r>
      <rPr>
        <sz val="10"/>
        <rFont val="BatangChe"/>
        <family val="3"/>
        <charset val="129"/>
      </rPr>
      <t>예를</t>
    </r>
    <r>
      <rPr>
        <sz val="10"/>
        <rFont val="Verdana"/>
        <family val="2"/>
      </rPr>
      <t xml:space="preserve"> </t>
    </r>
    <r>
      <rPr>
        <sz val="10"/>
        <rFont val="BatangChe"/>
        <family val="3"/>
        <charset val="129"/>
      </rPr>
      <t>들어</t>
    </r>
    <r>
      <rPr>
        <sz val="10"/>
        <rFont val="Verdana"/>
        <family val="2"/>
      </rPr>
      <t xml:space="preserve"> Responsible Jewellery Council </t>
    </r>
    <r>
      <rPr>
        <sz val="10"/>
        <rFont val="BatangChe"/>
        <family val="3"/>
        <charset val="129"/>
      </rPr>
      <t>또는</t>
    </r>
    <r>
      <rPr>
        <sz val="10"/>
        <rFont val="Verdana"/>
        <family val="2"/>
      </rPr>
      <t xml:space="preserve"> London Bullion Market Association)</t>
    </r>
    <r>
      <rPr>
        <sz val="10"/>
        <rFont val="BatangChe"/>
        <family val="3"/>
        <charset val="129"/>
      </rPr>
      <t>을</t>
    </r>
    <r>
      <rPr>
        <sz val="10"/>
        <rFont val="Verdana"/>
        <family val="2"/>
      </rPr>
      <t xml:space="preserve"> </t>
    </r>
    <r>
      <rPr>
        <sz val="10"/>
        <rFont val="BatangChe"/>
        <family val="3"/>
        <charset val="129"/>
      </rPr>
      <t>통해</t>
    </r>
    <r>
      <rPr>
        <sz val="10"/>
        <rFont val="Verdana"/>
        <family val="2"/>
      </rPr>
      <t xml:space="preserve"> </t>
    </r>
    <r>
      <rPr>
        <sz val="10"/>
        <rFont val="BatangChe"/>
        <family val="3"/>
        <charset val="129"/>
      </rPr>
      <t>평가되고</t>
    </r>
    <r>
      <rPr>
        <sz val="10"/>
        <rFont val="Verdana"/>
        <family val="2"/>
      </rPr>
      <t xml:space="preserve"> </t>
    </r>
    <r>
      <rPr>
        <sz val="10"/>
        <rFont val="BatangChe"/>
        <family val="3"/>
        <charset val="129"/>
      </rPr>
      <t>절차를</t>
    </r>
    <r>
      <rPr>
        <sz val="10"/>
        <rFont val="Verdana"/>
        <family val="2"/>
      </rPr>
      <t xml:space="preserve"> </t>
    </r>
    <r>
      <rPr>
        <sz val="10"/>
        <rFont val="BatangChe"/>
        <family val="3"/>
        <charset val="129"/>
      </rPr>
      <t>준수하는지</t>
    </r>
    <r>
      <rPr>
        <sz val="10"/>
        <rFont val="Verdana"/>
        <family val="2"/>
      </rPr>
      <t xml:space="preserve"> </t>
    </r>
    <r>
      <rPr>
        <sz val="10"/>
        <rFont val="BatangChe"/>
        <family val="3"/>
        <charset val="129"/>
      </rPr>
      <t>평가된</t>
    </r>
    <r>
      <rPr>
        <sz val="10"/>
        <rFont val="Verdana"/>
        <family val="2"/>
      </rPr>
      <t xml:space="preserve"> </t>
    </r>
    <r>
      <rPr>
        <sz val="10"/>
        <rFont val="BatangChe"/>
        <family val="3"/>
        <charset val="129"/>
      </rPr>
      <t>제련소와</t>
    </r>
    <r>
      <rPr>
        <sz val="10"/>
        <rFont val="Verdana"/>
        <family val="2"/>
      </rPr>
      <t xml:space="preserve"> </t>
    </r>
    <r>
      <rPr>
        <sz val="10"/>
        <rFont val="BatangChe"/>
        <family val="3"/>
        <charset val="129"/>
      </rPr>
      <t>정제소의</t>
    </r>
    <r>
      <rPr>
        <sz val="10"/>
        <rFont val="Verdana"/>
        <family val="2"/>
      </rPr>
      <t xml:space="preserve"> </t>
    </r>
    <r>
      <rPr>
        <sz val="10"/>
        <rFont val="BatangChe"/>
        <family val="3"/>
        <charset val="129"/>
      </rPr>
      <t>공개</t>
    </r>
    <r>
      <rPr>
        <sz val="10"/>
        <rFont val="Verdana"/>
        <family val="2"/>
      </rPr>
      <t xml:space="preserve"> </t>
    </r>
    <r>
      <rPr>
        <sz val="10"/>
        <rFont val="BatangChe"/>
        <family val="3"/>
        <charset val="129"/>
      </rPr>
      <t>목록입니다</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또는</t>
    </r>
    <r>
      <rPr>
        <sz val="10"/>
        <rFont val="Verdana"/>
        <family val="2"/>
      </rPr>
      <t xml:space="preserve"> </t>
    </r>
    <r>
      <rPr>
        <sz val="10"/>
        <rFont val="BatangChe"/>
        <family val="3"/>
        <charset val="129"/>
      </rPr>
      <t>정제소가</t>
    </r>
    <r>
      <rPr>
        <sz val="10"/>
        <rFont val="Verdana"/>
        <family val="2"/>
      </rPr>
      <t xml:space="preserve"> </t>
    </r>
    <r>
      <rPr>
        <sz val="10"/>
        <rFont val="BatangChe"/>
        <family val="3"/>
        <charset val="129"/>
      </rPr>
      <t>이</t>
    </r>
    <r>
      <rPr>
        <sz val="10"/>
        <rFont val="Verdana"/>
        <family val="2"/>
      </rPr>
      <t xml:space="preserve"> </t>
    </r>
    <r>
      <rPr>
        <sz val="10"/>
        <rFont val="BatangChe"/>
        <family val="3"/>
        <charset val="129"/>
      </rPr>
      <t>목록에</t>
    </r>
    <r>
      <rPr>
        <sz val="10"/>
        <rFont val="Verdana"/>
        <family val="2"/>
      </rPr>
      <t xml:space="preserve"> </t>
    </r>
    <r>
      <rPr>
        <sz val="10"/>
        <rFont val="BatangChe"/>
        <family val="3"/>
        <charset val="129"/>
      </rPr>
      <t>있지</t>
    </r>
    <r>
      <rPr>
        <sz val="10"/>
        <rFont val="Verdana"/>
        <family val="2"/>
      </rPr>
      <t xml:space="preserve"> </t>
    </r>
    <r>
      <rPr>
        <sz val="10"/>
        <rFont val="BatangChe"/>
        <family val="3"/>
        <charset val="129"/>
      </rPr>
      <t>않다면</t>
    </r>
    <r>
      <rPr>
        <sz val="10"/>
        <rFont val="Verdana"/>
        <family val="2"/>
      </rPr>
      <t xml:space="preserve">, CFSP </t>
    </r>
    <r>
      <rPr>
        <sz val="10"/>
        <rFont val="BatangChe"/>
        <family val="3"/>
        <charset val="129"/>
      </rPr>
      <t>평가를</t>
    </r>
    <r>
      <rPr>
        <sz val="10"/>
        <rFont val="Verdana"/>
        <family val="2"/>
      </rPr>
      <t xml:space="preserve"> </t>
    </r>
    <r>
      <rPr>
        <sz val="10"/>
        <rFont val="BatangChe"/>
        <family val="3"/>
        <charset val="129"/>
      </rPr>
      <t>완료하지</t>
    </r>
    <r>
      <rPr>
        <sz val="10"/>
        <rFont val="Verdana"/>
        <family val="2"/>
      </rPr>
      <t xml:space="preserve"> </t>
    </r>
    <r>
      <rPr>
        <sz val="10"/>
        <rFont val="BatangChe"/>
        <family val="3"/>
        <charset val="129"/>
      </rPr>
      <t>못했거나</t>
    </r>
    <r>
      <rPr>
        <sz val="10"/>
        <rFont val="Verdana"/>
        <family val="2"/>
      </rPr>
      <t xml:space="preserve"> CFSP </t>
    </r>
    <r>
      <rPr>
        <sz val="10"/>
        <rFont val="BatangChe"/>
        <family val="3"/>
        <charset val="129"/>
      </rPr>
      <t>절차를</t>
    </r>
    <r>
      <rPr>
        <sz val="10"/>
        <rFont val="Verdana"/>
        <family val="2"/>
      </rPr>
      <t xml:space="preserve"> </t>
    </r>
    <r>
      <rPr>
        <sz val="10"/>
        <rFont val="BatangChe"/>
        <family val="3"/>
        <charset val="129"/>
      </rPr>
      <t>준수하지</t>
    </r>
    <r>
      <rPr>
        <sz val="10"/>
        <rFont val="Verdana"/>
        <family val="2"/>
      </rPr>
      <t xml:space="preserve"> </t>
    </r>
    <r>
      <rPr>
        <sz val="10"/>
        <rFont val="BatangChe"/>
        <family val="3"/>
        <charset val="129"/>
      </rPr>
      <t>않고</t>
    </r>
    <r>
      <rPr>
        <sz val="10"/>
        <rFont val="Verdana"/>
        <family val="2"/>
      </rPr>
      <t xml:space="preserve"> </t>
    </r>
    <r>
      <rPr>
        <sz val="10"/>
        <rFont val="BatangChe"/>
        <family val="3"/>
        <charset val="129"/>
      </rPr>
      <t>있다는</t>
    </r>
    <r>
      <rPr>
        <sz val="10"/>
        <rFont val="Verdana"/>
        <family val="2"/>
      </rPr>
      <t xml:space="preserve"> </t>
    </r>
    <r>
      <rPr>
        <sz val="10"/>
        <rFont val="BatangChe"/>
        <family val="3"/>
        <charset val="129"/>
      </rPr>
      <t>것입니다</t>
    </r>
    <r>
      <rPr>
        <sz val="10"/>
        <rFont val="Verdana"/>
        <family val="2"/>
      </rPr>
      <t>. 
CFSP</t>
    </r>
    <r>
      <rPr>
        <sz val="10"/>
        <rFont val="BatangChe"/>
        <family val="3"/>
        <charset val="129"/>
      </rPr>
      <t>를</t>
    </r>
    <r>
      <rPr>
        <sz val="10"/>
        <rFont val="Verdana"/>
        <family val="2"/>
      </rPr>
      <t xml:space="preserve"> </t>
    </r>
    <r>
      <rPr>
        <sz val="10"/>
        <rFont val="BatangChe"/>
        <family val="3"/>
        <charset val="129"/>
      </rPr>
      <t>준수하는</t>
    </r>
    <r>
      <rPr>
        <sz val="10"/>
        <rFont val="Verdana"/>
        <family val="2"/>
      </rPr>
      <t xml:space="preserve"> </t>
    </r>
    <r>
      <rPr>
        <sz val="10"/>
        <rFont val="BatangChe"/>
        <family val="3"/>
        <charset val="129"/>
      </rPr>
      <t>것으로</t>
    </r>
    <r>
      <rPr>
        <sz val="10"/>
        <rFont val="Verdana"/>
        <family val="2"/>
      </rPr>
      <t xml:space="preserve"> </t>
    </r>
    <r>
      <rPr>
        <sz val="10"/>
        <rFont val="BatangChe"/>
        <family val="3"/>
        <charset val="129"/>
      </rPr>
      <t>확인된</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및</t>
    </r>
    <r>
      <rPr>
        <sz val="10"/>
        <rFont val="Verdana"/>
        <family val="2"/>
      </rPr>
      <t xml:space="preserve"> </t>
    </r>
    <r>
      <rPr>
        <sz val="10"/>
        <rFont val="BatangChe"/>
        <family val="3"/>
        <charset val="129"/>
      </rPr>
      <t>정제소</t>
    </r>
    <r>
      <rPr>
        <sz val="10"/>
        <rFont val="Verdana"/>
        <family val="2"/>
      </rPr>
      <t xml:space="preserve"> </t>
    </r>
    <r>
      <rPr>
        <sz val="10"/>
        <rFont val="BatangChe"/>
        <family val="3"/>
        <charset val="129"/>
      </rPr>
      <t>목록은</t>
    </r>
    <r>
      <rPr>
        <sz val="10"/>
        <rFont val="Verdana"/>
        <family val="2"/>
      </rPr>
      <t xml:space="preserve"> www.conflictfreesourcing.org</t>
    </r>
    <r>
      <rPr>
        <sz val="10"/>
        <rFont val="BatangChe"/>
        <family val="3"/>
        <charset val="129"/>
      </rPr>
      <t>에서</t>
    </r>
    <r>
      <rPr>
        <sz val="10"/>
        <rFont val="Verdana"/>
        <family val="2"/>
      </rPr>
      <t xml:space="preserve"> </t>
    </r>
    <r>
      <rPr>
        <sz val="10"/>
        <rFont val="BatangChe"/>
        <family val="3"/>
        <charset val="129"/>
      </rPr>
      <t>찾을</t>
    </r>
    <r>
      <rPr>
        <sz val="10"/>
        <rFont val="Verdana"/>
        <family val="2"/>
      </rPr>
      <t xml:space="preserve"> </t>
    </r>
    <r>
      <rPr>
        <sz val="10"/>
        <rFont val="BatangChe"/>
        <family val="3"/>
        <charset val="129"/>
      </rPr>
      <t>수</t>
    </r>
    <r>
      <rPr>
        <sz val="10"/>
        <rFont val="Verdana"/>
        <family val="2"/>
      </rPr>
      <t xml:space="preserve"> </t>
    </r>
    <r>
      <rPr>
        <sz val="10"/>
        <rFont val="BatangChe"/>
        <family val="3"/>
        <charset val="129"/>
      </rPr>
      <t>있습니다</t>
    </r>
    <r>
      <rPr>
        <sz val="10"/>
        <rFont val="Verdana"/>
        <family val="2"/>
      </rPr>
      <t xml:space="preserve">. </t>
    </r>
  </si>
  <si>
    <t>제련소 감사와 관련해서, "Independent third-party audit firm" 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</si>
  <si>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品に加工する企業と定義されている。この金属の詳しい説明は、CFSP監査手順書を参
照 http://www.conflict freesourcing.org/audit-protocols-procedures/ 
</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</si>
  <si>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の二次材料を、金属錫に還元できる施設を一箇所以上所有する企業である。CFSP監査
手順書に参照される製錬業者は、上記のどれか1つ、もしくは両方に該当する場合が
ある。この金属の詳細な説明については、CFSP監査手順書を参照：
http://www.conflictfreesourcing.org/audit-protocols-procedures/
</t>
  </si>
  <si>
    <t>一次锡冶炼厂指的是拥有一种以上处理锡精矿设备, 生产锡金属的工厂。二次锡冶炼厂 是指拥有一种以上设备可将二次料件还原为粗锡、高纯度锡或是锡制品(如焊锡)的工 厂。参与CFSP审计的冶炼厂属于上述其中一种或是同时拥有上述两种类型的冶炼厂。请参考适用于这类金属的CFSP审计协议，在此了解完整描述：
http://www.conflictfreesourcing.org/audit-protocols-procedures/.</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</si>
  <si>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CFSP監査手順書を参照 http://www.conflictfreesourcing.org/audit-protocols-procedures/.</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</si>
  <si>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</si>
  <si>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</si>
  <si>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输入授权人的电邮地址。 如果无电邮地址，请声明“无”或“不适用”。 留空此栏将会导致此报告填写出错失效。 此栏必须填写。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</si>
  <si>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</si>
  <si>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</si>
  <si>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</si>
  <si>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</si>
  <si>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</si>
  <si>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</si>
  <si>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</si>
  <si>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</si>
  <si>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</si>
  <si>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</si>
  <si>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</si>
  <si>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</si>
  <si>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</si>
  <si>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12. 回答責任者の電話番号を記入してください。この欄は必須です。</t>
  </si>
  <si>
    <t>12. 输入授权人的电话号码。 此栏必须填写</t>
  </si>
  <si>
    <t>Kazakhmys Smelting LLC</t>
  </si>
  <si>
    <t>CID000956</t>
  </si>
  <si>
    <t>Karaganda Region</t>
  </si>
  <si>
    <t>Balkhash</t>
  </si>
  <si>
    <t>Tongling Nonferrous Metals Group Co., Ltd.</t>
  </si>
  <si>
    <t>PT Justindo</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</si>
  <si>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</si>
  <si>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</si>
  <si>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5) Haben Sie von allen betroffenen Lieferanten die entsprechenden Daten/Informationen zu jedem 3TG-Mineral erhalten?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</si>
  <si>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</si>
  <si>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</si>
  <si>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2)3TGは御社の製品の生産に必要であり、御社が製造又は製造委託している完成品に含まれていますか？ (*)</t>
  </si>
  <si>
    <t>4)3TG（御社の製品の機能性又は生産に必要なもの）は全て、再生利用品又はスクラップ起源から調達していますか？</t>
  </si>
  <si>
    <t>6)御社のサプライチェーンに3TGを供給する製錬業者を全て特定しましたか？</t>
  </si>
  <si>
    <t>7)御社は受領した該当する全ての製錬業者情報を、この申告で報告していますか？</t>
  </si>
  <si>
    <t>2)3TG是否在贵公司产品生产中必须使用和存在于贵公司生产的成品或外包生产的成品中？(*)</t>
  </si>
  <si>
    <r>
      <t xml:space="preserve">D. This is a declaration to determine whether a company requires their direct suppliers to source </t>
    </r>
    <r>
      <rPr>
        <b/>
        <sz val="10"/>
        <rFont val="Verdana"/>
        <family val="2"/>
      </rPr>
      <t>3TG</t>
    </r>
    <r>
      <rPr>
        <sz val="10"/>
        <rFont val="Verdana"/>
        <family val="2"/>
      </rPr>
      <t xml:space="preserve"> from validated, conflict free smelters. The answer to this query shall be "yes" or "no". This question is mandatory.</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</si>
  <si>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</si>
  <si>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OJSC Novosibirsk Refinery</t>
  </si>
  <si>
    <t>PT Timah (Persero) Tbk Mentok</t>
  </si>
  <si>
    <t>Asahi Refining USA Inc.</t>
  </si>
  <si>
    <t>Elemetal Refining, LLC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</si>
  <si>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</si>
  <si>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</si>
  <si>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</si>
  <si>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</si>
  <si>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</si>
  <si>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</si>
  <si>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</si>
  <si>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</si>
  <si>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</si>
  <si>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</si>
  <si>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</si>
  <si>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</si>
  <si>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</si>
  <si>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</si>
  <si>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</si>
  <si>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</si>
  <si>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</si>
  <si>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</si>
  <si>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</si>
  <si>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</si>
  <si>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</si>
  <si>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Zijin Mining Group Co., Ltd. Gold Refinery</t>
  </si>
  <si>
    <t>T.C.A S.p.A</t>
  </si>
  <si>
    <t>DODUCO GmbH</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</si>
  <si>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</si>
  <si>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</si>
  <si>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</si>
  <si>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</si>
  <si>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</si>
  <si>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</si>
  <si>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</si>
  <si>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</si>
  <si>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</si>
  <si>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Zhaoqing Duoluoshan Non-ferrous Metals Co.,Ltd</t>
  </si>
  <si>
    <t>Alpha Metals Korea Ltd.</t>
  </si>
  <si>
    <t>Chengfeng Metals Co Pte Ltd</t>
  </si>
  <si>
    <t>China Rare Metal Material Co.,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</si>
  <si>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</si>
  <si>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</si>
  <si>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</si>
  <si>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</si>
  <si>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</si>
  <si>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</si>
  <si>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</si>
  <si>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</si>
  <si>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</si>
  <si>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</si>
  <si>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</si>
  <si>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</si>
  <si>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</si>
  <si>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</si>
  <si>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</si>
  <si>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CID002825</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</si>
  <si>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</si>
  <si>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</si>
  <si>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</si>
  <si>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</si>
  <si>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</si>
  <si>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</si>
  <si>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</si>
  <si>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</si>
  <si>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</si>
  <si>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</si>
  <si>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</si>
  <si>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</si>
  <si>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</si>
  <si>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</si>
  <si>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</si>
  <si>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</si>
  <si>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</si>
  <si>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</si>
  <si>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</si>
  <si>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</si>
  <si>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Novosibirsk Province</t>
  </si>
  <si>
    <t>SAAMP</t>
  </si>
  <si>
    <t>CID002761</t>
  </si>
  <si>
    <t>Paris</t>
  </si>
  <si>
    <t>Ile-de-France</t>
  </si>
  <si>
    <t>Tony Goetz NV</t>
  </si>
  <si>
    <t>CID002587</t>
  </si>
  <si>
    <t>E.S.R. Electronics</t>
  </si>
  <si>
    <t>CID002590</t>
  </si>
  <si>
    <t>Houston</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</si>
  <si>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</si>
  <si>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</si>
  <si>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</si>
  <si>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</si>
  <si>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</si>
  <si>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</si>
  <si>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</si>
  <si>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</si>
  <si>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</si>
  <si>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</si>
  <si>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</si>
  <si>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</si>
  <si>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</si>
  <si>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</si>
  <si>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</si>
  <si>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</si>
  <si>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</si>
  <si>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</si>
  <si>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Moliren Ltd</t>
  </si>
  <si>
    <t>CID002845</t>
  </si>
  <si>
    <t>Roshal</t>
  </si>
  <si>
    <t>CID002827</t>
  </si>
  <si>
    <t>Marilao</t>
  </si>
  <si>
    <t>Bulacan</t>
  </si>
  <si>
    <t>South-East Nonferrous Metal Company Limited of Hengyang City</t>
  </si>
  <si>
    <t>CID002815</t>
  </si>
  <si>
    <t>Woltech Korea Co., Ltd.</t>
  </si>
  <si>
    <t>CID002843</t>
  </si>
  <si>
    <t>Gyeongju</t>
  </si>
  <si>
    <t>Gyeongsanbuk</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</si>
  <si>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</si>
  <si>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</si>
  <si>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</si>
  <si>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</si>
  <si>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</si>
  <si>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</si>
  <si>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</si>
  <si>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</si>
  <si>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</si>
  <si>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</si>
  <si>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</si>
  <si>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CFSI web sitesi:</t>
    </r>
    <r>
      <rPr>
        <sz val="11"/>
        <color indexed="8"/>
        <rFont val="Verdana"/>
        <family val="2"/>
      </rPr>
      <t xml:space="preserve"> </t>
    </r>
    <r>
      <rPr>
        <sz val="11"/>
        <color indexed="8"/>
        <rFont val="Verdana"/>
        <family val="2"/>
      </rPr>
      <t>(www.conflictfreesourcing.org)</t>
    </r>
    <r>
      <rPr>
        <sz val="11"/>
        <color indexed="8"/>
        <rFont val="Verdana"/>
        <family val="2"/>
      </rPr>
      <t xml:space="preserve">
Eğitim ve kılavuzluk, şablon, İhtilafsız İzabe Tesisi Programı uyumlu izabe tesislerinin listesi</t>
    </r>
  </si>
  <si>
    <r>
      <rPr>
        <sz val="11"/>
        <color indexed="8"/>
        <rFont val="Verdana"/>
        <family val="2"/>
      </rPr>
      <t>Giriş</t>
    </r>
  </si>
  <si>
    <r>
      <rPr>
        <sz val="11"/>
        <color indexed="8"/>
        <rFont val="Verdana"/>
        <family val="2"/>
      </rPr>
      <t>* 2010 yılında, Demokratik Kongo Cumhuriyeti (DKC) ve komşu ülkelerinden gelen “ihtilaf konusu madenler” ile ilgili olarak ABD Dodd-Frank Wall Street Reformu ve Tüketicinin Korunması Kanunu yürürlüğe girmiştir.</t>
    </r>
    <r>
      <rPr>
        <sz val="11"/>
        <color indexed="8"/>
        <rFont val="Verdana"/>
        <family val="2"/>
      </rPr>
      <t xml:space="preserve"> </t>
    </r>
    <r>
      <rPr>
        <sz val="11"/>
        <color indexed="8"/>
        <rFont val="Verdana"/>
        <family val="2"/>
      </rPr>
      <t>SEC, ABD'de yer alan halka açık şirketlerin ihtilaf konusu madenlerin kaynağını açıklaması ile ilgili nihai kuralları yayınlamıştır (kuralları http://www.sec.gov/rules/final/2012/34-67716.pdf adresinde görebilirsiniz).</t>
    </r>
    <r>
      <rPr>
        <sz val="11"/>
        <color indexed="8"/>
        <rFont val="Verdana"/>
        <family val="2"/>
      </rPr>
      <t xml:space="preserve"> </t>
    </r>
    <r>
      <rPr>
        <sz val="11"/>
        <color indexed="8"/>
        <rFont val="Verdana"/>
        <family val="2"/>
      </rPr>
      <t>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t>
    </r>
    <r>
      <rPr>
        <sz val="11"/>
        <color indexed="8"/>
        <rFont val="Verdana"/>
        <family val="2"/>
      </rPr>
      <t xml:space="preserve">
** İhtilafsız Kaynak Edinme Girişimi ile ilgili bilgileri inceleyin (www.conflictfreesourcing.org).</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</si>
  <si>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</si>
  <si>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</si>
  <si>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</si>
  <si>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</si>
  <si>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</si>
  <si>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</si>
  <si>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</si>
  <si>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</si>
  <si>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</si>
  <si>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</si>
  <si>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</si>
  <si>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</si>
  <si>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</si>
  <si>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</si>
  <si>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</si>
  <si>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</si>
  <si>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</si>
  <si>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0"/>
        <color indexed="8"/>
        <rFont val="Verdana"/>
        <family val="2"/>
      </rPr>
      <t>Zorunlu yedi sorunun her birinde, açılır menü seçimlerini kullanarak her bir metal için bir yanıt verin. Bu bölümdeki sorular tüm 3TG'ler için doldurulmalıdır.</t>
    </r>
    <r>
      <rPr>
        <sz val="10"/>
        <color indexed="8"/>
        <rFont val="Verdana"/>
        <family val="2"/>
      </rPr>
      <t xml:space="preserve"> </t>
    </r>
    <r>
      <rPr>
        <sz val="10"/>
        <color indexed="8"/>
        <rFont val="Verdana"/>
        <family val="2"/>
      </rPr>
      <t>Bir metal ile ilgili olarak soru 1 ve/veya soru 2'ye olumlu yanıt verilmişse, bu metal için daha sonraki soruların ve şirketin genel durum tespiti programı hakkındaki soruların (A ile J arası) da yanıtlanması gerekmektedir.</t>
    </r>
  </si>
  <si>
    <r>
      <rPr>
        <sz val="11"/>
        <color indexed="8"/>
        <rFont val="Verdana"/>
        <family val="2"/>
      </rPr>
      <t>Bazı şirketler "Hayır" yanıtı için bir doğrulama gerektirebilir ve bu doğrulamanın Açıklama alanına girilmesi gerekmektedir.</t>
    </r>
  </si>
  <si>
    <r>
      <rPr>
        <sz val="10"/>
        <color indexed="8"/>
        <rFont val="Verdana"/>
        <family val="2"/>
      </rPr>
      <t>4.</t>
    </r>
    <r>
      <rPr>
        <sz val="10"/>
        <color indexed="8"/>
        <rFont val="Verdana"/>
        <family val="2"/>
      </rPr>
      <t xml:space="preserve"> </t>
    </r>
    <r>
      <rPr>
        <sz val="10"/>
        <color indexed="8"/>
        <rFont val="Verdana"/>
        <family val="2"/>
      </rPr>
      <t>Bu, ürünler içinde bulunan ve ürünün işlevselliği için gerekli 3TG'lerin bu geri dönüşüm veya hurda kaynaklardan gelip gelmediğinin beyanıdır.</t>
    </r>
    <r>
      <rPr>
        <sz val="10"/>
        <color indexed="8"/>
        <rFont val="Verdana"/>
        <family val="2"/>
      </rPr>
      <t xml:space="preserve"> </t>
    </r>
    <r>
      <rPr>
        <sz val="10"/>
        <color indexed="8"/>
        <rFont val="Verdana"/>
        <family val="2"/>
      </rPr>
      <t xml:space="preserve">
Bu soruya "evet", "hayır" ya da "bilinmiyor" şeklinde yanıt verilmelidir.</t>
    </r>
    <r>
      <rPr>
        <sz val="10"/>
        <color indexed="8"/>
        <rFont val="Verdana"/>
        <family val="2"/>
      </rPr>
      <t xml:space="preserve"> </t>
    </r>
    <r>
      <rPr>
        <sz val="10"/>
        <color indexed="8"/>
        <rFont val="Verdana"/>
        <family val="2"/>
      </rPr>
      <t>1 veya 2. soruya belirli bir metal için “Evet” yanıtı verilmişse, bu metal için bu soruya yanıt verilmesi zorunludur.</t>
    </r>
    <r>
      <rPr>
        <sz val="10"/>
        <color indexed="8"/>
        <rFont val="Verdana"/>
        <family val="2"/>
      </rPr>
      <t xml:space="preserve">
Bu soruya "Evet" yanıtı verilmesi, 3TG'lerin %100'ünün geri dönüşüm veya hurda kaynaklarından elde edildiği anlamına gelecektir.</t>
    </r>
    <r>
      <rPr>
        <sz val="10"/>
        <color indexed="8"/>
        <rFont val="Verdana"/>
        <family val="2"/>
      </rPr>
      <t xml:space="preserve"> </t>
    </r>
    <r>
      <rPr>
        <sz val="10"/>
        <color indexed="8"/>
        <rFont val="Verdana"/>
        <family val="2"/>
      </rPr>
      <t>Bu</t>
    </r>
    <r>
      <rPr>
        <sz val="10"/>
        <color indexed="8"/>
        <rFont val="Verdana"/>
        <family val="2"/>
      </rPr>
      <t xml:space="preserve"> soruya "Hayır" yanıtı verilmesi, 3TG'lerin bir kısmının geri dönüşüm veya hurda kaynaklarından elde edilmediği anlamına gelecektir.</t>
    </r>
    <r>
      <rPr>
        <sz val="10"/>
        <color indexed="8"/>
        <rFont val="Verdana"/>
        <family val="2"/>
      </rPr>
      <t xml:space="preserve"> </t>
    </r>
    <r>
      <rPr>
        <sz val="10"/>
        <color indexed="8"/>
        <rFont val="Verdana"/>
        <family val="2"/>
      </rPr>
      <t>Bu soruya "Bilinmiyor"	yanıtı verilmesi, kullanıcının 3TG'nin %100'ünün geri dönüşüm veya hurda kaynaklarından elde edilip edilmediğini bilmediği anlamına gelecektir.</t>
    </r>
    <r>
      <rPr>
        <sz val="10"/>
        <color indexed="8"/>
        <rFont val="Verdana"/>
        <family val="2"/>
      </rPr>
      <t xml:space="preserve"> </t>
    </r>
  </si>
  <si>
    <r>
      <rPr>
        <sz val="10"/>
        <color indexed="8"/>
        <rFont val="Verdana"/>
        <family val="2"/>
      </rPr>
      <t>5.</t>
    </r>
    <r>
      <rPr>
        <sz val="10"/>
        <color indexed="8"/>
        <rFont val="Verdana"/>
        <family val="2"/>
      </rPr>
      <t xml:space="preserve"> </t>
    </r>
    <r>
      <rPr>
        <sz val="10"/>
        <color indexed="8"/>
        <rFont val="Verdana"/>
        <family val="2"/>
      </rPr>
      <t>Bu bir şirketin bu beyan kapsamındaki ürünlerde makul düzeyde 3TG sağladığına inanılan tüm doğrudan tedarikçilerin ihtilaf konusu maden açıklaması yapıp yapmadığının belirlenmesi yönünde bir beyandır.</t>
    </r>
    <r>
      <rPr>
        <sz val="10"/>
        <color indexed="8"/>
        <rFont val="Verdana"/>
        <family val="2"/>
      </rPr>
      <t xml:space="preserve"> </t>
    </r>
    <r>
      <rPr>
        <sz val="10"/>
        <color indexed="8"/>
        <rFont val="Verdana"/>
        <family val="2"/>
      </rPr>
      <t>Bu soruya aşağıdaki şekillerde yanıt verilebilir:</t>
    </r>
    <r>
      <rPr>
        <sz val="10"/>
        <color indexed="8"/>
        <rFont val="Verdana"/>
        <family val="2"/>
      </rPr>
      <t xml:space="preserve">
­ Evet, %100</t>
    </r>
    <r>
      <rPr>
        <sz val="10"/>
        <color indexed="8"/>
        <rFont val="Verdana"/>
        <family val="2"/>
      </rPr>
      <t xml:space="preserve">
­ Hayır, ancak %75'ten fazla</t>
    </r>
    <r>
      <rPr>
        <sz val="10"/>
        <color indexed="8"/>
        <rFont val="Verdana"/>
        <family val="2"/>
      </rPr>
      <t xml:space="preserve">
­ Hayır, ancak %50'den fazla</t>
    </r>
    <r>
      <rPr>
        <sz val="10"/>
        <color indexed="8"/>
        <rFont val="Verdana"/>
        <family val="2"/>
      </rPr>
      <t xml:space="preserve">
­ Hayır, ancak %25'ten fazla</t>
    </r>
    <r>
      <rPr>
        <sz val="10"/>
        <color indexed="8"/>
        <rFont val="Verdana"/>
        <family val="2"/>
      </rPr>
      <t xml:space="preserve">
­ Hayır, ancak %25'ten az</t>
    </r>
    <r>
      <rPr>
        <sz val="10"/>
        <color indexed="8"/>
        <rFont val="Verdana"/>
        <family val="2"/>
      </rPr>
      <t xml:space="preserve">
­ Hiçbiri</t>
    </r>
    <r>
      <rPr>
        <sz val="10"/>
        <color indexed="8"/>
        <rFont val="Verdana"/>
        <family val="2"/>
      </rPr>
      <t xml:space="preserve">
Bir metal için 1. veya 2. soruda “Evet” yanıtı verilmişse, bu metal için bu sorunun yanıtlanması zorunludur.</t>
    </r>
  </si>
  <si>
    <r>
      <rPr>
        <sz val="10"/>
        <color indexed="8"/>
        <rFont val="Verdana"/>
        <family val="2"/>
      </rPr>
      <t>6.</t>
    </r>
    <r>
      <rPr>
        <sz val="10"/>
        <color indexed="8"/>
        <rFont val="Verdana"/>
        <family val="2"/>
      </rPr>
      <t xml:space="preserve"> </t>
    </r>
    <r>
      <rPr>
        <sz val="10"/>
        <color indexed="8"/>
        <rFont val="Verdana"/>
        <family val="2"/>
      </rPr>
      <t>Bu soru, tedarikçinin bu beyan kapsamındaki ürünlerde 3TG sağlayan tüm izabe tesislerinin tanımlandığını düşünüp düşü</t>
    </r>
    <r>
      <rPr>
        <sz val="10"/>
        <color indexed="8"/>
        <rFont val="Verdana"/>
        <family val="2"/>
      </rPr>
      <t>nmediğini doğrulama amacı taşır.</t>
    </r>
    <r>
      <rPr>
        <sz val="10"/>
        <color indexed="8"/>
        <rFont val="Verdana"/>
        <family val="2"/>
      </rPr>
      <t xml:space="preserve"> </t>
    </r>
    <r>
      <rPr>
        <sz val="10"/>
        <color indexed="8"/>
        <rFont val="Verdana"/>
        <family val="2"/>
      </rPr>
      <t>Bu soruya belirli durumlarda açıklama girerek (ör. izabe tesislerinin listesi) "evet" ya da "hayır" cevabı verilebilir.</t>
    </r>
    <r>
      <rPr>
        <sz val="10"/>
        <color indexed="8"/>
        <rFont val="Verdana"/>
        <family val="2"/>
      </rPr>
      <t xml:space="preserve"> </t>
    </r>
    <r>
      <rPr>
        <sz val="10"/>
        <color indexed="8"/>
        <rFont val="Verdana"/>
        <family val="2"/>
      </rPr>
      <t>1 veya 2. soruya belirli bir metal için “Evet” yanıtı verilmişse, bu metal için bu soruya yanıt verilmesi zorunludur.</t>
    </r>
  </si>
  <si>
    <r>
      <rPr>
        <sz val="10"/>
        <color indexed="8"/>
        <rFont val="Verdana"/>
        <family val="2"/>
      </rPr>
      <t>7.</t>
    </r>
    <r>
      <rPr>
        <sz val="10"/>
        <color indexed="8"/>
        <rFont val="Verdana"/>
        <family val="2"/>
      </rPr>
      <t xml:space="preserve"> </t>
    </r>
    <r>
      <rPr>
        <sz val="10"/>
        <color indexed="8"/>
        <rFont val="Verdana"/>
        <family val="2"/>
      </rPr>
      <t>Bu soru, bu beyan kapsamındaki ürünlerdeki 3TG'leri sağladığı belirlenen izabe tesislerinin beyanda bildirilip bildirilmediğini tespit etme amacı taşımaktadır.</t>
    </r>
    <r>
      <rPr>
        <sz val="10"/>
        <color indexed="8"/>
        <rFont val="Verdana"/>
        <family val="2"/>
      </rPr>
      <t xml:space="preserve"> </t>
    </r>
    <r>
      <rPr>
        <sz val="10"/>
        <color indexed="8"/>
        <rFont val="Verdana"/>
        <family val="2"/>
      </rPr>
      <t>Bu soruya belirli durumlarda açıklama girerek (ör. izabe tesislerinin listesi) "evet" ya da "hayır" cevabı verilebilir.</t>
    </r>
    <r>
      <rPr>
        <sz val="10"/>
        <color indexed="8"/>
        <rFont val="Verdana"/>
        <family val="2"/>
      </rPr>
      <t xml:space="preserve"> </t>
    </r>
    <r>
      <rPr>
        <sz val="10"/>
        <color indexed="8"/>
        <rFont val="Verdana"/>
        <family val="2"/>
      </rPr>
      <t>1 veya 2. soruya belirli bir metal için “Evet” yanıtı verilmişse, bu metal için bu soruya yanıt verilmesi zorunludur.</t>
    </r>
  </si>
  <si>
    <r>
      <rPr>
        <sz val="11"/>
        <color indexed="8"/>
        <rFont val="Verdana"/>
        <family val="2"/>
      </rPr>
      <t>Yanıtlarınızı açıklamak için Açıklama bölümlerine gereken açıklamaları girin.</t>
    </r>
  </si>
  <si>
    <r>
      <rPr>
        <sz val="11"/>
        <color indexed="8"/>
        <rFont val="Verdana"/>
        <family val="2"/>
      </rPr>
      <t>A. ve J. arası soruların yanıtlanması için talimatlar (69 ila 87 arası satırlar).</t>
    </r>
    <r>
      <rPr>
        <sz val="11"/>
        <color indexed="8"/>
        <rFont val="Verdana"/>
        <family val="2"/>
      </rPr>
      <t xml:space="preserve"> </t>
    </r>
    <r>
      <rPr>
        <sz val="11"/>
        <color indexed="8"/>
        <rFont val="Verdana"/>
        <family val="2"/>
      </rPr>
      <t>Herhangi bir metal için 1. veya 2. soruya “Evet” yanıtı verilmişse, A. ile J. arası soruların yanıtlanması gerekmektedir.</t>
    </r>
    <r>
      <rPr>
        <sz val="11"/>
        <color indexed="8"/>
        <rFont val="Verdana"/>
        <family val="2"/>
      </rPr>
      <t xml:space="preserve">
Yanıtları yalnızca İNGİLİZCE olarak verin</t>
    </r>
  </si>
  <si>
    <r>
      <rPr>
        <sz val="11"/>
        <color indexed="8"/>
        <rFont val="Verdana"/>
        <family val="2"/>
      </rPr>
      <t xml:space="preserve"> İhtilaftan Etkilenen ya da Yüksek</t>
    </r>
    <r>
      <rPr>
        <sz val="11"/>
        <color indexed="8"/>
        <rFont val="Verdana"/>
        <family val="2"/>
      </rPr>
      <t xml:space="preserve">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t>
    </r>
    <r>
      <rPr>
        <sz val="11"/>
        <color indexed="8"/>
        <rFont val="Verdana"/>
        <family val="2"/>
      </rPr>
      <t xml:space="preserve"> </t>
    </r>
    <r>
      <rPr>
        <sz val="11"/>
        <color indexed="8"/>
        <rFont val="Verdana"/>
        <family val="2"/>
      </rPr>
      <t>Durum tespiti, şirketinizin genel ihtilaf içermeyen kaynak edinme stratejisinin ayrılmaz bir parçasını oluşturmalıdır.</t>
    </r>
    <r>
      <rPr>
        <sz val="11"/>
        <color indexed="8"/>
        <rFont val="Verdana"/>
        <family val="2"/>
      </rPr>
      <t xml:space="preserve"> </t>
    </r>
    <r>
      <rPr>
        <sz val="11"/>
        <color indexed="8"/>
        <rFont val="Verdana"/>
        <family val="2"/>
      </rPr>
      <t>A. ile J. arası sorular, şirketinizin ihtilaf içermeyen maden kaynağı belirleme konulu durum tespiti aktivitelerinin değerlendirilmesi için tasarlanmıştır.</t>
    </r>
    <r>
      <rPr>
        <sz val="11"/>
        <color indexed="8"/>
        <rFont val="Verdana"/>
        <family val="2"/>
      </rPr>
      <t xml:space="preserve"> </t>
    </r>
    <r>
      <rPr>
        <sz val="11"/>
        <color indexed="8"/>
        <rFont val="Verdana"/>
        <family val="2"/>
      </rPr>
      <t>Bu sorulara verilecek yanıtlar, şirketinizin faaliyetlerinin kapsamını eksiksiz bir şekilde ifade etmeli ve şirket bilgileri bölümünde seçilen ‘Beyan Kapsamı’ ile sınırlı tutulmamalıdır.</t>
    </r>
  </si>
  <si>
    <r>
      <rPr>
        <sz val="11"/>
        <color indexed="8"/>
        <rFont val="Verdana"/>
        <family val="2"/>
      </rPr>
      <t>A.</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r>
      <rPr>
        <sz val="11"/>
        <color indexed="8"/>
        <rFont val="Verdana"/>
        <family val="2"/>
      </rPr>
      <t xml:space="preserve"> </t>
    </r>
  </si>
  <si>
    <r>
      <rPr>
        <sz val="11"/>
        <color indexed="8"/>
        <rFont val="Verdana"/>
        <family val="2"/>
      </rPr>
      <t>B.</t>
    </r>
    <r>
      <rPr>
        <sz val="11"/>
        <color indexed="8"/>
        <rFont val="Verdana"/>
        <family val="2"/>
      </rPr>
      <t xml:space="preserve"> </t>
    </r>
    <r>
      <rPr>
        <sz val="11"/>
        <color indexed="8"/>
        <rFont val="Verdana"/>
        <family val="2"/>
      </rPr>
      <t>Lütfen “Evet” veya “Hayır” şeklinde yanıt verin. Cevabınız “Evet” ise, web bağlantısını açıklama bölümüne ekleyin.</t>
    </r>
  </si>
  <si>
    <r>
      <rPr>
        <sz val="11"/>
        <color indexed="8"/>
        <rFont val="Verdana"/>
        <family val="2"/>
      </rPr>
      <t>C.</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r>
      <rPr>
        <sz val="11"/>
        <color indexed="8"/>
        <rFont val="Verdana"/>
        <family val="2"/>
      </rPr>
      <t xml:space="preserve"> </t>
    </r>
    <r>
      <rPr>
        <sz val="11"/>
        <color indexed="8"/>
        <rFont val="Verdana"/>
        <family val="2"/>
      </rPr>
      <t>"DKC ihtilafı içermeyen" tanımı için Tanımlar çalışma sayfasını inceleyin.</t>
    </r>
  </si>
  <si>
    <r>
      <rPr>
        <sz val="10"/>
        <color indexed="8"/>
        <rFont val="Verdana"/>
        <family val="2"/>
      </rPr>
      <t>D.</t>
    </r>
    <r>
      <rPr>
        <sz val="10"/>
        <color indexed="8"/>
        <rFont val="Verdana"/>
        <family val="2"/>
      </rPr>
      <t xml:space="preserve"> </t>
    </r>
    <r>
      <rPr>
        <sz val="10"/>
        <color indexed="8"/>
        <rFont val="Verdana"/>
        <family val="2"/>
      </rPr>
      <t xml:space="preserve">Bu, bir şirketin doğrudan tedarikçilerinin </t>
    </r>
    <r>
      <rPr>
        <b/>
        <sz val="10"/>
        <color indexed="8"/>
        <rFont val="Verdana"/>
        <family val="2"/>
      </rPr>
      <t>3TG</t>
    </r>
    <r>
      <rPr>
        <sz val="10"/>
        <color indexed="8"/>
        <rFont val="Verdana"/>
        <family val="2"/>
      </rPr>
      <t>leri doğrulanmış, ihtilaf konusu olmayan izabe tesislerinden temin edip etmediğinin belirlenmesini amaçlamaktadır.</t>
    </r>
    <r>
      <rPr>
        <sz val="10"/>
        <color indexed="8"/>
        <rFont val="Verdana"/>
        <family val="2"/>
      </rPr>
      <t xml:space="preserve"> </t>
    </r>
    <r>
      <rPr>
        <sz val="10"/>
        <color indexed="8"/>
        <rFont val="Verdana"/>
        <family val="2"/>
      </rPr>
      <t>Bu soruya "evet" ya da "hayır" şeklinde yanıt verilmelidir.</t>
    </r>
    <r>
      <rPr>
        <sz val="10"/>
        <color indexed="8"/>
        <rFont val="Verdana"/>
        <family val="2"/>
      </rPr>
      <t xml:space="preserve"> </t>
    </r>
    <r>
      <rPr>
        <sz val="10"/>
        <color indexed="8"/>
        <rFont val="Verdana"/>
        <family val="2"/>
      </rPr>
      <t>Bu sorunun yanıtlanması zorunludur.</t>
    </r>
  </si>
  <si>
    <r>
      <rPr>
        <sz val="11"/>
        <color indexed="8"/>
        <rFont val="Verdana"/>
        <family val="2"/>
      </rPr>
      <t>E.</t>
    </r>
    <r>
      <rPr>
        <sz val="11"/>
        <color indexed="8"/>
        <rFont val="Verdana"/>
        <family val="2"/>
      </rPr>
      <t xml:space="preserve"> </t>
    </r>
    <r>
      <rPr>
        <sz val="11"/>
        <color indexed="8"/>
        <rFont val="Verdana"/>
        <family val="2"/>
      </rPr>
      <t>Şirketinizin ihtilaf konusu maden kaynak belirleme durum tespiti tedbirlerini uygulayıp uygulamadığını ifade etmek için lütfen "Evet" veya "Hayır" biçiminde yanıt verin.</t>
    </r>
    <r>
      <rPr>
        <sz val="11"/>
        <color indexed="8"/>
        <rFont val="Verdana"/>
        <family val="2"/>
      </rPr>
      <t xml:space="preserve"> </t>
    </r>
    <r>
      <rPr>
        <sz val="11"/>
        <color indexed="8"/>
        <rFont val="Verdana"/>
        <family val="2"/>
      </rPr>
      <t>Bu beyan, bir şirketin durum tespiti tedbirlerinin ayrıntılarını verme amacı taşımamaktadır, yalnızca durum tespiti tedbirlerinin uygulanıp uygulanmadığı ile ilgilidir.</t>
    </r>
    <r>
      <rPr>
        <sz val="11"/>
        <color indexed="8"/>
        <rFont val="Verdana"/>
        <family val="2"/>
      </rPr>
      <t xml:space="preserve"> </t>
    </r>
    <r>
      <rPr>
        <sz val="11"/>
        <color indexed="8"/>
        <rFont val="Verdana"/>
        <family val="2"/>
      </rPr>
      <t>Kabul edilebilir durum tespiti tedbirlerinin özellikleri, talep eden kişi ve tedarikçi tarafından belirlenmelidir.</t>
    </r>
    <r>
      <rPr>
        <sz val="11"/>
        <color indexed="8"/>
        <rFont val="Verdana"/>
        <family val="2"/>
      </rPr>
      <t xml:space="preserve">
Durum tespiti tedbirleri örnekleri şunları içerebilir: ihtilaf içeremeyen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t>
    </r>
    <r>
      <rPr>
        <sz val="11"/>
        <color indexed="8"/>
        <rFont val="Verdana"/>
        <family val="2"/>
      </rPr>
      <t xml:space="preserve"> </t>
    </r>
  </si>
  <si>
    <r>
      <rPr>
        <sz val="10"/>
        <color indexed="8"/>
        <rFont val="Verdana"/>
        <family val="2"/>
      </rPr>
      <t>F.</t>
    </r>
    <r>
      <rPr>
        <sz val="10"/>
        <color indexed="8"/>
        <rFont val="Verdana"/>
        <family val="2"/>
      </rPr>
      <t xml:space="preserve"> </t>
    </r>
    <r>
      <rPr>
        <sz val="10"/>
        <color indexed="8"/>
        <rFont val="Verdana"/>
        <family val="2"/>
      </rPr>
      <t>Bu, bir şirketin tedarikçilerinden ihtilaf konusu maden beyanı doldurmalarını isteyip istemediğini tespit etme amaçlıdır.</t>
    </r>
    <r>
      <rPr>
        <sz val="10"/>
        <color indexed="8"/>
        <rFont val="Verdana"/>
        <family val="2"/>
      </rPr>
      <t xml:space="preserve"> </t>
    </r>
    <r>
      <rPr>
        <sz val="10"/>
        <color indexed="8"/>
        <rFont val="Verdana"/>
        <family val="2"/>
      </rPr>
      <t>Bu soruya belirli durumlarda bir açıklama (bilgi toplama biçimini açıklama gibi) ile birlikte "evet" ya da "hayır" şeklinde yanıt verilmelidir.</t>
    </r>
    <r>
      <rPr>
        <sz val="10"/>
        <color indexed="8"/>
        <rFont val="Verdana"/>
        <family val="2"/>
      </rPr>
      <t xml:space="preserve"> </t>
    </r>
    <r>
      <rPr>
        <sz val="10"/>
        <color indexed="8"/>
        <rFont val="Verdana"/>
        <family val="2"/>
      </rPr>
      <t>Bu sorunun yanıtlanması zorunludur.</t>
    </r>
  </si>
  <si>
    <r>
      <rPr>
        <sz val="11"/>
        <color indexed="8"/>
        <rFont val="Verdana"/>
        <family val="2"/>
      </rPr>
      <t>G.</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</si>
  <si>
    <r>
      <rPr>
        <sz val="11"/>
        <color indexed="8"/>
        <rFont val="Verdana"/>
        <family val="2"/>
      </rPr>
      <t>H.</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Açıklamalar bölümünde, yaklaşımınız ile ilgili ilave bilgiler girebilirsiniz.</t>
    </r>
    <r>
      <rPr>
        <sz val="11"/>
        <color indexed="8"/>
        <rFont val="Verdana"/>
        <family val="2"/>
      </rPr>
      <t xml:space="preserve"> </t>
    </r>
    <r>
      <rPr>
        <sz val="11"/>
        <color indexed="8"/>
        <rFont val="Verdana"/>
        <family val="2"/>
      </rPr>
      <t>Örnekler şunları içerebilir:</t>
    </r>
    <r>
      <rPr>
        <sz val="11"/>
        <color indexed="8"/>
        <rFont val="Verdana"/>
        <family val="2"/>
      </rPr>
      <t xml:space="preserve">
 </t>
    </r>
    <r>
      <rPr>
        <sz val="11"/>
        <color indexed="8"/>
        <rFont val="Verdana"/>
        <family val="2"/>
      </rPr>
      <t>“3. kişi denetimleri” - bağımsız üçüncü kişiler tarafından gerçekleştirilen tesis içi denetimler.</t>
    </r>
    <r>
      <rPr>
        <sz val="11"/>
        <color indexed="8"/>
        <rFont val="Verdana"/>
        <family val="2"/>
      </rPr>
      <t xml:space="preserve"> </t>
    </r>
    <r>
      <rPr>
        <sz val="11"/>
        <color indexed="8"/>
        <rFont val="Verdana"/>
        <family val="2"/>
      </rPr>
      <t xml:space="preserve">
 </t>
    </r>
    <r>
      <rPr>
        <sz val="11"/>
        <color indexed="8"/>
        <rFont val="Verdana"/>
        <family val="2"/>
      </rPr>
      <t>“Yalnızca belgelendirme değerlendirmesi” - tedarikçinin verdiği kayıtların ve bağımsız üçüncü kişiler veya şirket personeliniz tarafından hazırlanan belgelerin değerlendirilmesi.</t>
    </r>
    <r>
      <rPr>
        <sz val="11"/>
        <color indexed="8"/>
        <rFont val="Verdana"/>
        <family val="2"/>
      </rPr>
      <t xml:space="preserve"> </t>
    </r>
    <r>
      <rPr>
        <sz val="11"/>
        <color indexed="8"/>
        <rFont val="Verdana"/>
        <family val="2"/>
      </rPr>
      <t xml:space="preserve">
 </t>
    </r>
    <r>
      <rPr>
        <sz val="11"/>
        <color indexed="8"/>
        <rFont val="Verdana"/>
        <family val="2"/>
      </rPr>
      <t>“Kurum içi denetim” - şirket personelinizin tedarikçileriniz üzerinde yerinde gerçekleştirdiği denetimler.</t>
    </r>
  </si>
  <si>
    <r>
      <rPr>
        <sz val="11"/>
        <color indexed="8"/>
        <rFont val="Verdana"/>
        <family val="2"/>
      </rPr>
      <t>I.</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Yanıtınız “Evet” ise lütfen düzeltici eylem sürecini nasıl yönettiğinizi belirtin.</t>
    </r>
  </si>
  <si>
    <r>
      <rPr>
        <sz val="11"/>
        <color indexed="8"/>
        <rFont val="Verdana"/>
        <family val="2"/>
      </rPr>
      <t>J.</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SEC ihtilaf konusu maden açıklama gereklilikleri ABD Menkul Kıymetler Borsası Kanununa tâbi ABD'de bulunan, döviz ticareti yapan şirketler için geçerlidir.</t>
    </r>
    <r>
      <rPr>
        <sz val="11"/>
        <color indexed="8"/>
        <rFont val="Verdana"/>
        <family val="2"/>
      </rPr>
      <t xml:space="preserve"> </t>
    </r>
    <r>
      <rPr>
        <sz val="11"/>
        <color indexed="8"/>
        <rFont val="Verdana"/>
        <family val="2"/>
      </rPr>
      <t>Daha fazla bilgi için lütfen www.sec.gov adres</t>
    </r>
    <r>
      <rPr>
        <sz val="11"/>
        <color indexed="8"/>
        <rFont val="Verdana"/>
        <family val="2"/>
      </rPr>
      <t>ine başvurun.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</si>
  <si>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</si>
  <si>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</si>
  <si>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Bu şablon, İzabe Tesisi Referans Listesi kullanılarak izabe tesisi tanımlanabilmesini sağlar.</t>
    </r>
    <r>
      <rPr>
        <sz val="11"/>
        <color indexed="8"/>
        <rFont val="Verdana"/>
        <family val="2"/>
      </rPr>
      <t xml:space="preserve"> </t>
    </r>
    <r>
      <rPr>
        <sz val="11"/>
        <color indexed="8"/>
        <rFont val="Verdana"/>
        <family val="2"/>
      </rPr>
      <t>İzabe Tesisi Referans Listesi işlevinin kullanılabilmesi için B, C, D ve E sütunlarının soldan sağa doğru doldurulması gerekmektedir.</t>
    </r>
    <r>
      <rPr>
        <sz val="11"/>
        <color indexed="8"/>
        <rFont val="Verdana"/>
        <family val="2"/>
      </rPr>
      <t xml:space="preserve">
Her bir metal/izabe tesisi/ülke kombinasyonu için ayrı bir satır kullanın</t>
    </r>
  </si>
  <si>
    <r>
      <rPr>
        <sz val="11"/>
        <color indexed="8"/>
        <rFont val="Verdana"/>
        <family val="2"/>
      </rPr>
      <t>15.</t>
    </r>
    <r>
      <rPr>
        <sz val="11"/>
        <color indexed="8"/>
        <rFont val="Verdana"/>
        <family val="2"/>
      </rPr>
      <t xml:space="preserve"> </t>
    </r>
    <r>
      <rPr>
        <sz val="11"/>
        <color indexed="8"/>
        <rFont val="Verdana"/>
        <family val="2"/>
      </rPr>
      <t>İzabe tesisinin hammaddeleri %100 oranda geri dönüşüm veya hurda kaynaklarından mı geliyor?</t>
    </r>
    <r>
      <rPr>
        <sz val="11"/>
        <color indexed="8"/>
        <rFont val="Verdana"/>
        <family val="2"/>
      </rPr>
      <t xml:space="preserve"> </t>
    </r>
    <r>
      <rPr>
        <sz val="11"/>
        <color indexed="8"/>
        <rFont val="Verdana"/>
        <family val="2"/>
      </rPr>
      <t>- İzabe tesisi izabe süreçleri için girdileri yalnızca geri dönüşüm veya hurda kaynaklarından alıyorsa lütfen bu soruya "Evet" yanıtı verin.</t>
    </r>
    <r>
      <rPr>
        <sz val="11"/>
        <color indexed="8"/>
        <rFont val="Verdana"/>
        <family val="2"/>
      </rPr>
      <t xml:space="preserve"> </t>
    </r>
    <r>
      <rPr>
        <sz val="11"/>
        <color indexed="8"/>
        <rFont val="Verdana"/>
        <family val="2"/>
      </rPr>
      <t>Diğer durumlarda, "Hayır" yanıtı verin.</t>
    </r>
    <r>
      <rPr>
        <sz val="11"/>
        <color indexed="8"/>
        <rFont val="Verdana"/>
        <family val="2"/>
      </rPr>
      <t xml:space="preserve"> </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</si>
  <si>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</si>
  <si>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</si>
  <si>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</si>
  <si>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t>
    </r>
    <r>
      <rPr>
        <sz val="11"/>
        <color indexed="8"/>
        <rFont val="Verdana"/>
        <family val="2"/>
      </rPr>
      <t xml:space="preserve"> </t>
    </r>
    <r>
      <rPr>
        <sz val="11"/>
        <color indexed="8"/>
        <rFont val="Verdana"/>
        <family val="2"/>
      </rPr>
      <t>Listede ya da herhangi bir Araçtaki herhangi bir yanlışlık veya eksiklik, Delaware merkezli sermayesi bölünmemiş bir şirket olan Electronic Industry Citizen</t>
    </r>
    <r>
      <rPr>
        <sz val="11"/>
        <color indexed="8"/>
        <rFont val="Verdana"/>
        <family val="2"/>
      </rPr>
      <t>ship Coalition, Incorporated'ın ("EICC") veya Belçika merkezli uluslararası bir kar amacı gütmeyen topluluk olan Küresel e-Sürdürülebilirlik Girişiminin ("GeSI") sorumluluğunda değildir.</t>
    </r>
    <r>
      <rPr>
        <sz val="11"/>
        <color indexed="8"/>
        <rFont val="Verdana"/>
        <family val="2"/>
      </rPr>
      <t xml:space="preserve"> </t>
    </r>
    <r>
      <rPr>
        <sz val="11"/>
        <color indexed="8"/>
        <rFont val="Verdana"/>
        <family val="2"/>
      </rPr>
      <t>Listenin veya herhangi bir Aracın tamamının ya da herhangi bir kısmının kullanılıp kullanılmaması tamamen Kullanıcının takdirine bağlı olmalıdır.</t>
    </r>
    <r>
      <rPr>
        <sz val="11"/>
        <color indexed="8"/>
        <rFont val="Verdana"/>
        <family val="2"/>
      </rPr>
      <t xml:space="preserve"> </t>
    </r>
    <r>
      <rPr>
        <sz val="11"/>
        <color indexed="8"/>
        <rFont val="Verdana"/>
        <family val="2"/>
      </rPr>
      <t>Listeyi ya da herhangi bir Aracı kullanmadan önce hukuk müşaviriniz ile birlikte incelemelisiniz.</t>
    </r>
    <r>
      <rPr>
        <sz val="11"/>
        <color indexed="8"/>
        <rFont val="Verdana"/>
        <family val="2"/>
      </rPr>
      <t xml:space="preserve"> </t>
    </r>
    <r>
      <rPr>
        <sz val="11"/>
        <color indexed="8"/>
        <rFont val="Verdana"/>
        <family val="2"/>
      </rPr>
      <t>Liste ya da herhangi bir Aracın hiçbir bölümü yasal tavsiye niteliğinde değildir.</t>
    </r>
    <r>
      <rPr>
        <sz val="11"/>
        <color indexed="8"/>
        <rFont val="Verdana"/>
        <family val="2"/>
      </rPr>
      <t xml:space="preserve"> </t>
    </r>
    <r>
      <rPr>
        <sz val="11"/>
        <color indexed="8"/>
        <rFont val="Verdana"/>
        <family val="2"/>
      </rPr>
      <t>Listenin ya da herhangi bir Aracın kullanılması tamamen gönüllülük esasına bağlıdır.</t>
    </r>
  </si>
  <si>
    <r>
      <rPr>
        <sz val="11"/>
        <color indexed="8"/>
        <rFont val="Verdana"/>
        <family val="2"/>
      </rPr>
      <t>EICC ya da GeSI Liste veya herhangi bir Araç ile ilgili olarak herhangi bir beyan veya taahhütte bulunmamaktadır.</t>
    </r>
    <r>
      <rPr>
        <sz val="11"/>
        <color indexed="8"/>
        <rFont val="Verdana"/>
        <family val="2"/>
      </rPr>
      <t xml:space="preserve"> </t>
    </r>
    <r>
      <rPr>
        <sz val="11"/>
        <color indexed="8"/>
        <rFont val="Verdana"/>
        <family val="2"/>
      </rPr>
      <t>Liste ve Araçlar "OLDUĞU GİBİ" ve "UYGUNLUK KAPSAMINDA" sunulmaktadır.</t>
    </r>
    <r>
      <rPr>
        <sz val="11"/>
        <color indexed="8"/>
        <rFont val="Verdana"/>
        <family val="2"/>
      </rPr>
      <t xml:space="preserve"> </t>
    </r>
    <r>
      <rPr>
        <sz val="11"/>
        <color indexed="8"/>
        <rFont val="Verdana"/>
        <family val="2"/>
      </rPr>
      <t>EICC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t>
    </r>
    <r>
      <rPr>
        <sz val="11"/>
        <color indexed="8"/>
        <rFont val="Verdana"/>
        <family val="2"/>
      </rPr>
      <t xml:space="preserve"> </t>
    </r>
  </si>
  <si>
    <r>
      <rPr>
        <sz val="11"/>
        <color indexed="8"/>
        <rFont val="Verdana"/>
        <family val="2"/>
      </rPr>
      <t>Yürürlükteki kanunların izin verdiği kapsamda, EICC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t>
    </r>
    <r>
      <rPr>
        <sz val="11"/>
        <color indexed="8"/>
        <rFont val="Verdana"/>
        <family val="2"/>
      </rPr>
      <t xml:space="preserve"> </t>
    </r>
  </si>
  <si>
    <r>
      <rPr>
        <sz val="11"/>
        <color indexed="8"/>
        <rFont val="Verdana"/>
        <family val="2"/>
      </rPr>
      <t>Liste ve/veya herhangi bir Aracın kullanımı kapsamında, KULLANICI işbu belge ile (a) EICC ve GeSI'yi, ilgili yetkilileri, yöneticileri, temsilcileri, çalışanları, gönüllüleri, acenteleri, yüklenicileri, halefleri ve devralanları, Kullanıcının geçmişte, şimdi veya gelecekte EICC ve GeSI'ye, ilgili yetkilileri, yöneticileri, temsilcileri, çalışanları, gönüllüleri, acenteleri, yüklenicileri, halefleri ve devralanlarına karşı Liste veya herhangi bir Aracın kullanımından doğan talepler, yasa işleml</t>
    </r>
    <r>
      <rPr>
        <sz val="11"/>
        <color indexed="8"/>
        <rFont val="Verdana"/>
        <family val="2"/>
      </rPr>
      <t>er, kayıplar, davalar, hasarlar, kararlar, hacizler ve icralara karşı beri tutmayı ve (b) EICC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</si>
  <si>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</si>
  <si>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</si>
  <si>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</si>
  <si>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</si>
  <si>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</si>
  <si>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CFSP Uyumlu İzabe Tesisi Listesi</t>
    </r>
  </si>
  <si>
    <r>
      <rPr>
        <sz val="11"/>
        <color indexed="8"/>
        <rFont val="Verdana"/>
        <family val="2"/>
      </rPr>
      <t>İhtilafsız İzabe Tesisi Programı (CFSP)</t>
    </r>
  </si>
  <si>
    <r>
      <rPr>
        <sz val="11"/>
        <color indexed="8"/>
        <rFont val="Verdana"/>
        <family val="2"/>
      </rPr>
      <t>İhtilafsız Kaynak Edinme Girişimi</t>
    </r>
  </si>
  <si>
    <r>
      <rPr>
        <sz val="11"/>
        <color indexed="8"/>
        <rFont val="Verdana"/>
        <family val="2"/>
      </rPr>
      <t>İhtilaf Konusu Maden</t>
    </r>
  </si>
  <si>
    <r>
      <rPr>
        <sz val="11"/>
        <color indexed="8"/>
        <rFont val="Verdana"/>
        <family val="2"/>
      </rPr>
      <t>Kapsam Dahilindeki Ülke(ler)</t>
    </r>
  </si>
  <si>
    <r>
      <rPr>
        <sz val="11"/>
        <color indexed="8"/>
        <rFont val="Verdana"/>
        <family val="2"/>
      </rPr>
      <t>Beyan Kapsamı ya da S</t>
    </r>
    <r>
      <rPr>
        <sz val="11"/>
        <color indexed="8"/>
        <rFont val="Verdana"/>
        <family val="2"/>
      </rPr>
      <t>ınıfı</t>
    </r>
  </si>
  <si>
    <r>
      <rPr>
        <sz val="11"/>
        <color indexed="8"/>
        <rFont val="Verdana"/>
        <family val="2"/>
      </rPr>
      <t>Dodd-Frank</t>
    </r>
  </si>
  <si>
    <r>
      <rPr>
        <sz val="11"/>
        <color indexed="8"/>
        <rFont val="Verdana"/>
        <family val="2"/>
      </rPr>
      <t>DKC</t>
    </r>
  </si>
  <si>
    <r>
      <rPr>
        <sz val="11"/>
        <color indexed="8"/>
        <rFont val="Verdana"/>
        <family val="2"/>
      </rPr>
      <t>DKC ihtilafı içermeyen</t>
    </r>
  </si>
  <si>
    <r>
      <rPr>
        <sz val="11"/>
        <color indexed="8"/>
        <rFont val="Verdana"/>
        <family val="2"/>
      </rPr>
      <t>EICC</t>
    </r>
  </si>
  <si>
    <r>
      <rPr>
        <sz val="11"/>
        <color indexed="8"/>
        <rFont val="Verdana"/>
        <family val="2"/>
      </rPr>
      <t>GeSI</t>
    </r>
    <r>
      <rPr>
        <sz val="11"/>
        <color indexed="8"/>
        <rFont val="Verdana"/>
        <family val="2"/>
      </rPr>
      <t xml:space="preserve"> </t>
    </r>
  </si>
  <si>
    <r>
      <rPr>
        <sz val="11"/>
        <color indexed="8"/>
        <rFont val="Verdana"/>
        <family val="2"/>
      </rPr>
      <t>Altın (Au) rafinerisi (izabe tesisi)</t>
    </r>
  </si>
  <si>
    <r>
      <rPr>
        <sz val="11"/>
        <color indexed="8"/>
        <rFont val="Verdana"/>
        <family val="2"/>
      </rPr>
      <t>Bağımsız Üçüncü Kişi Denetim Firması</t>
    </r>
  </si>
  <si>
    <r>
      <rPr>
        <sz val="11"/>
        <color indexed="8"/>
        <rFont val="Verdana"/>
        <family val="2"/>
      </rPr>
      <t>Kasten eklenmiş</t>
    </r>
  </si>
  <si>
    <r>
      <rPr>
        <sz val="11"/>
        <color indexed="8"/>
        <rFont val="Verdana"/>
        <family val="2"/>
      </rPr>
      <t>IPC</t>
    </r>
  </si>
  <si>
    <r>
      <rPr>
        <sz val="11"/>
        <color indexed="8"/>
        <rFont val="Verdana"/>
        <family val="2"/>
      </rPr>
      <t>IPC-1755 İhtilaf Konusu Maden Veri Alışverişi Standardı</t>
    </r>
  </si>
  <si>
    <r>
      <rPr>
        <sz val="11"/>
        <color indexed="8"/>
        <rFont val="Verdana"/>
        <family val="2"/>
      </rPr>
      <t>Bir Ürünün İşlevselliği için Gerekli</t>
    </r>
  </si>
  <si>
    <r>
      <rPr>
        <sz val="11"/>
        <color indexed="8"/>
        <rFont val="Verdana"/>
        <family val="2"/>
      </rPr>
      <t>Bir Ürünün İmalatı için Gerekli</t>
    </r>
  </si>
  <si>
    <r>
      <rPr>
        <sz val="11"/>
        <color indexed="8"/>
        <rFont val="Verdana"/>
        <family val="2"/>
      </rPr>
      <t>OECD</t>
    </r>
  </si>
  <si>
    <r>
      <rPr>
        <sz val="11"/>
        <color indexed="8"/>
        <rFont val="Verdana"/>
        <family val="2"/>
      </rPr>
      <t>Ürün</t>
    </r>
  </si>
  <si>
    <r>
      <rPr>
        <sz val="11"/>
        <color indexed="8"/>
        <rFont val="Verdana"/>
        <family val="2"/>
      </rPr>
      <t>Geri Dönüşüm veya Hurda Kaynakları</t>
    </r>
  </si>
  <si>
    <r>
      <rPr>
        <sz val="11"/>
        <color indexed="8"/>
        <rFont val="Verdana"/>
        <family val="2"/>
      </rPr>
      <t>SEC</t>
    </r>
  </si>
  <si>
    <r>
      <rPr>
        <sz val="11"/>
        <color indexed="8"/>
        <rFont val="Verdana"/>
        <family val="2"/>
      </rPr>
      <t>İzabe Tesisi</t>
    </r>
  </si>
  <si>
    <r>
      <rPr>
        <sz val="11"/>
        <color indexed="8"/>
        <rFont val="Verdana"/>
        <family val="2"/>
      </rPr>
      <t>İzabe Tesisi Tanımlama Numarası</t>
    </r>
  </si>
  <si>
    <r>
      <rPr>
        <sz val="11"/>
        <color indexed="8"/>
        <rFont val="Verdana"/>
        <family val="2"/>
      </rPr>
      <t>Tantal (Ta) izabe tesisi</t>
    </r>
  </si>
  <si>
    <r>
      <rPr>
        <sz val="11"/>
        <color indexed="8"/>
        <rFont val="Verdana"/>
        <family val="2"/>
      </rPr>
      <t>Kalay (Sn) izabe tesisi</t>
    </r>
  </si>
  <si>
    <r>
      <rPr>
        <sz val="11"/>
        <color indexed="8"/>
        <rFont val="Verdana"/>
        <family val="2"/>
      </rPr>
      <t>Tungsten (W) izabe tesisi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</si>
  <si>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</si>
  <si>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</si>
  <si>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</si>
  <si>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0"/>
        <color indexed="8"/>
        <rFont val="Verdana"/>
        <family val="2"/>
      </rPr>
      <t>İhtilafsız İzabe Tesisi Programı (CFSP) Uyumlu İzabe Tesisi Listesi, İhtilafsız Kaynak Edinme Girişiminin (CFSI) bir programı olan CFSP'nin ya da sektördeki eşdeğer bir programın (Sorumlu Mücevher Şirketleri Konseyi veya Londra Bulyon Pazarı Birliği gibi) denetiminden geçmiş ve protokollere uyumlu olduğu tespit edilmiş izabe tesisleri ve rafinerilerin yayınlanmış listesini oluşturur.</t>
    </r>
    <r>
      <rPr>
        <sz val="10"/>
        <color indexed="8"/>
        <rFont val="Verdana"/>
        <family val="2"/>
      </rPr>
      <t xml:space="preserve"> </t>
    </r>
    <r>
      <rPr>
        <sz val="10"/>
        <color indexed="8"/>
        <rFont val="Verdana"/>
        <family val="2"/>
      </rPr>
      <t>Bir izabe tesisi ya da rafinerinin listede olmaması, bir CFSP denetiminden geçmediği ya da CFSP protokollerine uymadığı anlamına gelir.</t>
    </r>
    <r>
      <rPr>
        <sz val="10"/>
        <color indexed="8"/>
        <rFont val="Verdana"/>
        <family val="2"/>
      </rPr>
      <t xml:space="preserve"> </t>
    </r>
    <r>
      <rPr>
        <sz val="10"/>
        <color indexed="8"/>
        <rFont val="Verdana"/>
        <family val="2"/>
      </rPr>
      <t xml:space="preserve">
CFSP ile uyumlu olduğu doğrulanmış olan izabe tesisleri ve rafinerilerin listesine www.conflictfreesourcing.org adresinden ulaşılabilir.</t>
    </r>
    <r>
      <rPr>
        <sz val="10"/>
        <color indexed="8"/>
        <rFont val="Verdana"/>
        <family val="2"/>
      </rPr>
      <t xml:space="preserve"> </t>
    </r>
  </si>
  <si>
    <r>
      <rPr>
        <sz val="11"/>
        <color indexed="8"/>
        <rFont val="Verdana"/>
        <family val="2"/>
      </rPr>
      <t>İhtilafsız İzabe Tesisi Programı (CFSP), EICC ve GeSI tarafından şirketlerin metalleri sorumlu bir şekilde elde etme kapasitesini iyileştirmek için geliştirilmiş bir programdır.</t>
    </r>
    <r>
      <rPr>
        <sz val="11"/>
        <color indexed="8"/>
        <rFont val="Verdana"/>
        <family val="2"/>
      </rPr>
      <t xml:space="preserve"> </t>
    </r>
    <r>
      <rPr>
        <sz val="11"/>
        <color indexed="8"/>
        <rFont val="Verdana"/>
        <family val="2"/>
      </rPr>
      <t>CFSP ile ilgili daha fazla bilgi için şu adrese başvurabilirsiniz: http://www.conflictfreesourcing.org/conflict-free-smelter-program/.</t>
    </r>
  </si>
  <si>
    <r>
      <rPr>
        <sz val="11"/>
        <color indexed="8"/>
        <rFont val="Verdana"/>
        <family val="2"/>
      </rPr>
      <t>2008 yılında, Electronic Industry Citizenship Coalition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t>
    </r>
    <r>
      <rPr>
        <sz val="11"/>
        <color indexed="8"/>
        <rFont val="Verdana"/>
        <family val="2"/>
      </rPr>
      <t xml:space="preserve"> </t>
    </r>
    <r>
      <rPr>
        <sz val="11"/>
        <color indexed="8"/>
        <rFont val="Verdana"/>
        <family val="2"/>
      </rPr>
      <t>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t>
    </r>
    <r>
      <rPr>
        <sz val="11"/>
        <color indexed="8"/>
        <rFont val="Verdana"/>
        <family val="2"/>
      </rPr>
      <t xml:space="preserve"> </t>
    </r>
    <r>
      <rPr>
        <sz val="11"/>
        <color indexed="8"/>
        <rFont val="Verdana"/>
        <family val="2"/>
      </rPr>
      <t>CFSI aynı zamanda, ihtilaf konusu madenler ile ilgili sorunlar ile ilgili düzenli atölye çalışmaları yürütmekte ve politikaların geliştirilmesine katkıda bulunarak öncü s</t>
    </r>
    <r>
      <rPr>
        <sz val="11"/>
        <color indexed="8"/>
        <rFont val="Verdana"/>
        <family val="2"/>
      </rPr>
      <t>ivil toplum kuruluşları ve hükümetler ile müzakere etmektedir.</t>
    </r>
    <r>
      <rPr>
        <sz val="11"/>
        <color indexed="8"/>
        <rFont val="Verdana"/>
        <family val="2"/>
      </rPr>
      <t xml:space="preserve"> </t>
    </r>
    <r>
      <rPr>
        <sz val="11"/>
        <color indexed="8"/>
        <rFont val="Verdana"/>
        <family val="2"/>
      </rPr>
      <t>Daha fazla bilgi için http://www.conflictfreesourcing.org adresine bakılabilir.</t>
    </r>
  </si>
  <si>
    <r>
      <rPr>
        <sz val="11"/>
        <color indexed="8"/>
        <rFont val="Verdana"/>
        <family val="2"/>
      </rPr>
      <t>2010 tarihli Amerika Birleşik Devletleri yasaları, Dodd-Frank Wall Street Reformu ve Tüketicinin Korunması Kanunu Bölüm 1502(e)(4) kapsamında tanımlanan şekliyle:</t>
    </r>
    <r>
      <rPr>
        <sz val="11"/>
        <color indexed="8"/>
        <rFont val="Verdana"/>
        <family val="2"/>
      </rPr>
      <t xml:space="preserve">
İHTİLAF KONUSU MADEN—‘İhtilaf konusu maden’’ terimi —</t>
    </r>
    <r>
      <rPr>
        <sz val="11"/>
        <color indexed="8"/>
        <rFont val="Verdana"/>
        <family val="2"/>
      </rPr>
      <t xml:space="preserve">
(A) kolu</t>
    </r>
    <r>
      <rPr>
        <sz val="11"/>
        <color indexed="8"/>
        <rFont val="Verdana"/>
        <family val="2"/>
      </rPr>
      <t xml:space="preserve">mbit-tantalit (koltan), kasiterit, altın, volframit veya türevleri ya da </t>
    </r>
    <r>
      <rPr>
        <sz val="11"/>
        <color indexed="8"/>
        <rFont val="Verdana"/>
        <family val="2"/>
      </rPr>
      <t xml:space="preserve">
(B) ABD Dışişleri Bakanlığı tarafından Demokratik Kongo Cumhuriyeti ya da komşu ülkelerindeki ihtilaflara finansman sağladığı belirlenen diğer madenler veya türevlerini kapsamaktadır.</t>
    </r>
    <r>
      <rPr>
        <sz val="11"/>
        <color indexed="8"/>
        <rFont val="Verdana"/>
        <family val="2"/>
      </rPr>
      <t xml:space="preserve"> </t>
    </r>
    <r>
      <rPr>
        <sz val="11"/>
        <color indexed="8"/>
        <rFont val="Verdana"/>
        <family val="2"/>
      </rPr>
      <t>(http://www.sec.gov/about/laws/wallstreetreform-cpa.pdf adresinden ulaşılabilir)</t>
    </r>
  </si>
  <si>
    <r>
      <rPr>
        <sz val="11"/>
        <color indexed="8"/>
        <rFont val="Verdana"/>
        <family val="2"/>
      </rPr>
      <t>ABD Dodd-Frank Wall Street Reformu ve 2010 tarihli Tüketicinin Korunması Kanunu tarafından tanımlanan şekliyle Kapsam Dahilindeki Ülke(ler).</t>
    </r>
    <r>
      <rPr>
        <sz val="11"/>
        <color indexed="8"/>
        <rFont val="Verdana"/>
        <family val="2"/>
      </rPr>
      <t xml:space="preserve"> </t>
    </r>
    <r>
      <rPr>
        <sz val="11"/>
        <color indexed="8"/>
        <rFont val="Verdana"/>
        <family val="2"/>
      </rPr>
      <t>Bu ülkeler, Demokratik Kongo Cumhur</t>
    </r>
    <r>
      <rPr>
        <sz val="11"/>
        <color indexed="8"/>
        <rFont val="Verdana"/>
        <family val="2"/>
      </rPr>
      <t>iyeti ile bu ülkenin sınırlarını paylaştığı uluslararası kapsamda kabul edilen dokuz ülkeyi içerir:</t>
    </r>
    <r>
      <rPr>
        <sz val="11"/>
        <color indexed="8"/>
        <rFont val="Verdana"/>
        <family val="2"/>
      </rPr>
      <t xml:space="preserve"> </t>
    </r>
    <r>
      <rPr>
        <sz val="11"/>
        <color indexed="8"/>
        <rFont val="Verdana"/>
        <family val="2"/>
      </rPr>
      <t>Angola, Burundi, Orta Afrika Cumhuriyeti, Kongo Cumhuriyeti, Ruanda, Güney Sudan, Tanzanya, Uganda, Zambiya.</t>
    </r>
    <r>
      <rPr>
        <sz val="11"/>
        <color indexed="8"/>
        <rFont val="Verdana"/>
        <family val="2"/>
      </rPr>
      <t xml:space="preserve"> </t>
    </r>
  </si>
  <si>
    <r>
      <rPr>
        <sz val="11"/>
        <color indexed="8"/>
        <rFont val="Verdana"/>
        <family val="2"/>
      </rPr>
      <t>Bu şablonun amaçları çerçevesinde, “kapsam” ifadesi, bildirimi yapan şirketin sağladığı bilgilerin geçerlilik alanını ifade etmektedir.</t>
    </r>
    <r>
      <rPr>
        <sz val="11"/>
        <color indexed="8"/>
        <rFont val="Verdana"/>
        <family val="2"/>
      </rPr>
      <t xml:space="preserve"> </t>
    </r>
    <r>
      <rPr>
        <sz val="11"/>
        <color indexed="8"/>
        <rFont val="Verdana"/>
        <family val="2"/>
      </rPr>
      <t>Kapsam, bir şirketin hizmet ve/veya ürünlerinin tamamını ya da şirketin takdirinde olmak üzere bir kısmını içerebilir, şablon belirli bir ürün (ya da ürünler) hakkında bildirim yapmak için kullanılabilir ya da ‘Kullanıcı tanımlı’ olabilir.</t>
    </r>
    <r>
      <rPr>
        <sz val="11"/>
        <color indexed="8"/>
        <rFont val="Verdana"/>
        <family val="2"/>
      </rPr>
      <t xml:space="preserve"> </t>
    </r>
    <r>
      <rPr>
        <sz val="11"/>
        <color indexed="8"/>
        <rFont val="Verdana"/>
        <family val="2"/>
      </rPr>
      <t>‘Kullanıcı tanımlı’ kapsam seçimi ya da sınıfı, bir şirketin işletim ya da ürün portföyünün herhangi bir alt kümesini açıklamak için kullanılabilir.</t>
    </r>
  </si>
  <si>
    <r>
      <rPr>
        <sz val="11"/>
        <color indexed="8"/>
        <rFont val="Verdana"/>
        <family val="2"/>
      </rPr>
      <t>2010 Amerika Birleşik Devletleri yasaları, Dodd-Frank Wall Street Reformu ve Tüketicinin Korunması Kanunu, Bölüm 1502 (“Dodd-Frank”) (http://www.sec.gov/about/laws/wallstreetreform-cpa.pdf)</t>
    </r>
  </si>
  <si>
    <r>
      <rPr>
        <sz val="11"/>
        <color indexed="8"/>
        <rFont val="Verdana"/>
        <family val="2"/>
      </rPr>
      <t>Demokratik Kongo Cumhuriyeti</t>
    </r>
  </si>
  <si>
    <r>
      <rPr>
        <sz val="11"/>
        <color indexed="8"/>
        <rFont val="Verdana"/>
        <family val="2"/>
      </rPr>
      <t>Demokratik Kongo Cumhuriyeti veya komşu ülkelerindeki silahlı gruplara doğrudan ya da dolaylı olarak finansman sağlayan ya da bunlara fayda sunan maden içermeyen ürünler.</t>
    </r>
    <r>
      <rPr>
        <sz val="11"/>
        <color indexed="8"/>
        <rFont val="Verdana"/>
        <family val="2"/>
      </rPr>
      <t xml:space="preserve"> </t>
    </r>
    <r>
      <rPr>
        <sz val="11"/>
        <color indexed="8"/>
        <rFont val="Verdana"/>
        <family val="2"/>
      </rPr>
      <t>Kaynak:</t>
    </r>
    <r>
      <rPr>
        <sz val="11"/>
        <color indexed="8"/>
        <rFont val="Verdana"/>
        <family val="2"/>
      </rPr>
      <t xml:space="preserve"> </t>
    </r>
    <r>
      <rPr>
        <sz val="11"/>
        <color indexed="8"/>
        <rFont val="Verdana"/>
        <family val="2"/>
      </rPr>
      <t>2010 Amerika Birleşik Devletleri yasaları, Dodd-Frank Wall Street Reformu ve Tüketicinin Korunması Kanunu, Bölüm 1502 (http://www.sec.gov/about/laws/wallstreetreform-cpa.pdf)</t>
    </r>
  </si>
  <si>
    <r>
      <rPr>
        <sz val="11"/>
        <color indexed="8"/>
        <rFont val="Verdana"/>
        <family val="2"/>
      </rPr>
      <t>Electronic Industry Citizenship Coalition (www.eicc.info)</t>
    </r>
  </si>
  <si>
    <r>
      <rPr>
        <sz val="11"/>
        <color indexed="8"/>
        <rFont val="Verdana"/>
        <family val="2"/>
      </rPr>
      <t>Küresel e-Sürdürülebilirlik Girişimi (www.gesi.org)</t>
    </r>
  </si>
  <si>
    <r>
      <rPr>
        <sz val="11"/>
        <color indexed="8"/>
        <rFont val="Verdana"/>
        <family val="2"/>
      </rPr>
      <t>Bir altın rafinerisi, altın ya da daha düşük konsantrasyonlarda altın içeren maddelerden %99,5 ya da üzeri konsantrasyona sahip sarı altın</t>
    </r>
    <r>
      <rPr>
        <sz val="11"/>
        <color indexed="8"/>
        <rFont val="Verdana"/>
        <family val="2"/>
      </rPr>
      <t xml:space="preserve"> üreten bir metalurjik işlemdir.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</si>
  <si>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İzabe tesisi denetimleri bağlamında, “Bağımsız Üçüncü Kişi Denetim Firmaları” izabe tesisinin ya da rafinerinin malzemelerinin izlenebilirliğini CFSP veya eşdeğer denetim protokollerine uygun şekilde değerlendirme konusunda yetkin özel sektör kuruluşlarıdır.</t>
    </r>
    <r>
      <rPr>
        <sz val="11"/>
        <color indexed="8"/>
        <rFont val="Verdana"/>
        <family val="2"/>
      </rPr>
      <t xml:space="preserve"> </t>
    </r>
    <r>
      <rPr>
        <sz val="11"/>
        <color indexed="8"/>
        <rFont val="Verdana"/>
        <family val="2"/>
      </rPr>
      <t>Tarafsızlığı korumak için bu kuruluşun ve denetim ekibi üyelerinin denetlenen kurum ile herhangi bir çıkar çatışması içerisinde olmaması gerekmektedir.</t>
    </r>
  </si>
  <si>
    <r>
      <rPr>
        <sz val="11"/>
        <color indexed="8"/>
        <rFont val="Verdana"/>
        <family val="2"/>
      </rPr>
      <t>Kasten eklenmiş ifadesi, bir maddenin ya da bu durumda bir metalin, özel bir karakter, görünüm ya da özellik katmak amacıyla bir formülde kasti bir şekilde kullanılması olarak bilinir.</t>
    </r>
    <r>
      <rPr>
        <sz val="11"/>
        <color indexed="8"/>
        <rFont val="Verdana"/>
        <family val="2"/>
      </rPr>
      <t xml:space="preserve">
SEC “kasten eklenmiş” ifadesini nihai kurallarda* tam olarak kullanmıyor olsa da önsöz kısmında şu ifade yer alır:</t>
    </r>
    <r>
      <rPr>
        <sz val="11"/>
        <color indexed="8"/>
        <rFont val="Verdana"/>
        <family val="2"/>
      </rPr>
      <t xml:space="preserve">
“İhtilaf konusu bir maddenin bir ürünün “imalatı ya da işlevselliği için gerekli” olup olmadığının belirlenmesinde doğal olarak ortaya çıkan yan ürün olması yerine kasten eklenmiş olmasının önemli bir faktör olduğunu kabul ediyoruz.</t>
    </r>
    <r>
      <rPr>
        <sz val="11"/>
        <color indexed="8"/>
        <rFont val="Verdana"/>
        <family val="2"/>
      </rPr>
      <t xml:space="preserve"> </t>
    </r>
    <r>
      <rPr>
        <sz val="11"/>
        <color indexed="8"/>
        <rFont val="Verdana"/>
        <family val="2"/>
      </rPr>
      <t>Bu, ihtilaf konusu madenin üründe yer aldığı sürece, bu ürünü kimin kasten eklediğinden bağımsız olarak doğru bir ifade olacaktır.</t>
    </r>
    <r>
      <rPr>
        <sz val="11"/>
        <color indexed="8"/>
        <rFont val="Verdana"/>
        <family val="2"/>
      </rPr>
      <t xml:space="preserve"> </t>
    </r>
    <r>
      <rPr>
        <sz val="11"/>
        <color indexed="8"/>
        <rFont val="Verdana"/>
        <family val="2"/>
      </rPr>
      <t>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t>
    </r>
    <r>
      <rPr>
        <sz val="11"/>
        <color indexed="8"/>
        <rFont val="Verdana"/>
        <family val="2"/>
      </rPr>
      <t xml:space="preserve"> </t>
    </r>
    <r>
      <rPr>
        <sz val="11"/>
        <color indexed="8"/>
        <rFont val="Verdana"/>
        <family val="2"/>
      </rPr>
      <t>Bunun yerine, hazırlayan kişi ‘ürünün toplamı ile ilgili bildirimde bulunmalı ve gerekliliklere uyacak tedarikçiler ile birlikte çalışmalıdır.’</t>
    </r>
    <r>
      <rPr>
        <sz val="11"/>
        <color indexed="8"/>
        <rFont val="Verdana"/>
        <family val="2"/>
      </rPr>
      <t xml:space="preserve"> </t>
    </r>
    <r>
      <rPr>
        <sz val="11"/>
        <color indexed="8"/>
        <rFont val="Verdana"/>
        <family val="2"/>
      </rPr>
      <t>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</si>
  <si>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IPC (www.IPC.org) merkezi Bannockburn, Ill.'de bulunan bir sanayi birliğidir ve tasarım, baskılı devre imalatı, elektronik tertibatı ve testi de içeren şekilde ele</t>
    </r>
    <r>
      <rPr>
        <sz val="11"/>
        <color indexed="8"/>
        <rFont val="Verdana"/>
        <family val="2"/>
      </rPr>
      <t>ktronik sektörünün her yönünü temsil eden 3.400 üye şirketin rekabetçi mükemmellik ve mali başarısına adanmıştır.</t>
    </r>
    <r>
      <rPr>
        <sz val="11"/>
        <color indexed="8"/>
        <rFont val="Verdana"/>
        <family val="2"/>
      </rPr>
      <t xml:space="preserve"> </t>
    </r>
    <r>
      <rPr>
        <sz val="11"/>
        <color indexed="8"/>
        <rFont val="Verdana"/>
        <family val="2"/>
      </rPr>
      <t>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t>
    </r>
    <r>
      <rPr>
        <sz val="11"/>
        <color indexed="8"/>
        <rFont val="Verdana"/>
        <family val="2"/>
      </rPr>
      <t xml:space="preserve"> </t>
    </r>
    <r>
      <rPr>
        <sz val="11"/>
        <color indexed="8"/>
        <rFont val="Verdana"/>
        <family val="2"/>
      </rPr>
      <t>IPC'nin Taos, N.M.; Washington, D.C.; Stockholm, İsveç; Moskova, Rusya; Bangalore, Hindistan; Bangkok, Tayl</t>
    </r>
    <r>
      <rPr>
        <sz val="11"/>
        <color indexed="8"/>
        <rFont val="Verdana"/>
        <family val="2"/>
      </rPr>
      <t>and ve Şangay, Shenzhen, Chengdu, Suzhou ve Pekin, Çin'de de ofisleri bulunmaktadır.</t>
    </r>
  </si>
  <si>
    <r>
      <rPr>
        <sz val="11"/>
        <color indexed="8"/>
        <rFont val="Verdana"/>
        <family val="2"/>
      </rPr>
      <t>Bu IPC standardı, tedarikçiler ile müşterileri arasında ihtilaf konusu maden alışverişi için gereklilikleri tanımlamaktadır.</t>
    </r>
    <r>
      <rPr>
        <sz val="11"/>
        <color indexed="8"/>
        <rFont val="Verdana"/>
        <family val="2"/>
      </rPr>
      <t xml:space="preserve"> </t>
    </r>
    <r>
      <rPr>
        <sz val="11"/>
        <color indexed="8"/>
        <rFont val="Verdana"/>
        <family val="2"/>
      </rPr>
      <t>Bu standart, kapsamlı bir kullanıcı yelpazesinin ihtiyaçlarını karşılamak için tek bir beyana dahil edilen ürün kapsamı konusunda esneklik sağlamaktadır.</t>
    </r>
    <r>
      <rPr>
        <sz val="11"/>
        <color indexed="8"/>
        <rFont val="Verdana"/>
        <family val="2"/>
      </rPr>
      <t xml:space="preserve"> </t>
    </r>
    <r>
      <rPr>
        <sz val="11"/>
        <color indexed="8"/>
        <rFont val="Verdana"/>
        <family val="2"/>
      </rPr>
      <t>Bu standart, bir uyumluluk kılavuzu değildir.</t>
    </r>
    <r>
      <rPr>
        <sz val="11"/>
        <color indexed="8"/>
        <rFont val="Verdana"/>
        <family val="2"/>
      </rPr>
      <t xml:space="preserve"> </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</si>
  <si>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bir maden, aşağıdaki koşulları sağlaması durumuna işlevsellik için gerekli görülecektir:</t>
    </r>
    <r>
      <rPr>
        <sz val="11"/>
        <color indexed="8"/>
        <rFont val="Verdana"/>
        <family val="2"/>
      </rPr>
      <t xml:space="preserve"> </t>
    </r>
    <r>
      <rPr>
        <sz val="11"/>
        <color indexed="8"/>
        <rFont val="Verdana"/>
        <family val="2"/>
      </rPr>
      <t>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t>
    </r>
    <r>
      <rPr>
        <sz val="11"/>
        <color indexed="8"/>
        <rFont val="Verdana"/>
        <family val="2"/>
      </rPr>
      <t xml:space="preserve">
NOT:</t>
    </r>
    <r>
      <rPr>
        <sz val="11"/>
        <color indexed="8"/>
        <rFont val="Verdana"/>
        <family val="2"/>
      </rPr>
      <t xml:space="preserve"> </t>
    </r>
    <r>
      <rPr>
        <sz val="11"/>
        <color indexed="8"/>
        <rFont val="Verdana"/>
        <family val="2"/>
      </rPr>
      <t>Geçerli olması için ihtilaf konusu madenin ürünün içinde bulunması gerekmektedir.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</si>
  <si>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maden aşağıdaki durumlarda ürün imalatı için gerekli görülecektir:</t>
    </r>
    <r>
      <rPr>
        <sz val="11"/>
        <color indexed="8"/>
        <rFont val="Verdana"/>
        <family val="2"/>
      </rPr>
      <t xml:space="preserve"> </t>
    </r>
    <r>
      <rPr>
        <sz val="11"/>
        <color indexed="8"/>
        <rFont val="Verdana"/>
        <family val="2"/>
      </rPr>
      <t>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r>
      <rPr>
        <sz val="11"/>
        <rFont val="Verdana"/>
        <family val="2"/>
      </rPr>
      <t xml:space="preserve">
</t>
    </r>
  </si>
  <si>
    <r>
      <rPr>
        <sz val="11"/>
        <color indexed="8"/>
        <rFont val="Verdana"/>
        <family val="2"/>
      </rPr>
      <t>Ekonomik Kalkınma ve İşbirliği Örgütü</t>
    </r>
  </si>
  <si>
    <r>
      <rPr>
        <sz val="11"/>
        <color indexed="8"/>
        <rFont val="Verdana"/>
        <family val="2"/>
      </rPr>
      <t>Bir şirketin ürünü ya da son ürünü, imalat ve/veya işleme almanın son aşamasında tamamlanan bir malzeme ya da öğedir ve müşterilere dağıtım ya da satış yoluyla ulaştırılır.</t>
    </r>
  </si>
  <si>
    <r>
      <rPr>
        <sz val="11"/>
        <color indexed="8"/>
        <rFont val="Verdana"/>
        <family val="2"/>
      </rPr>
      <t>Geri dönüşüm veya hurda kaynakları, son kullanıcı ya da tüketici sonrası ürünler olarak bilinen ya da ürün imalatı sırasında oluşan hurda işleminden geçmiş metallerdir.</t>
    </r>
    <r>
      <rPr>
        <sz val="11"/>
        <color indexed="8"/>
        <rFont val="Verdana"/>
        <family val="2"/>
      </rPr>
      <t xml:space="preserve"> </t>
    </r>
    <r>
      <rPr>
        <sz val="11"/>
        <color indexed="8"/>
        <rFont val="Verdana"/>
        <family val="2"/>
      </rPr>
      <t>Geri dönüştürülmüş metaller, kalay, tantal, tungsten ve/veya altın üretiminde geri dönüşüme uygun arıtılmış ya da işlemden geçmiş metaller içeren fazla, kusurlu ve hurda metal parçalarını içerir.</t>
    </r>
    <r>
      <rPr>
        <sz val="11"/>
        <color indexed="8"/>
        <rFont val="Verdana"/>
        <family val="2"/>
      </rPr>
      <t xml:space="preserve"> </t>
    </r>
    <r>
      <rPr>
        <sz val="11"/>
        <color indexed="8"/>
        <rFont val="Verdana"/>
        <family val="2"/>
      </rPr>
      <t>Kısmen işlemden geçmiş, işlemden geçmemiş veya diğer cevherlerin yan ürünü niteliğindeki madenler geri dönüştürülmüş metal tanımına dahil değildir.</t>
    </r>
  </si>
  <si>
    <r>
      <rPr>
        <sz val="11"/>
        <color indexed="8"/>
        <rFont val="Verdana"/>
        <family val="2"/>
      </rPr>
      <t>ABD Menkul Kıymetler ve Döviz Komisyonu (www.sec.gov)</t>
    </r>
  </si>
  <si>
    <r>
      <rPr>
        <sz val="11"/>
        <color indexed="8"/>
        <rFont val="Verdana"/>
        <family val="2"/>
      </rPr>
      <t>İzabe tesisleri ya da rafineriler, madeni cevher, cüruf ve/veya geri dönüştürülmüş ya da hurda kaynakları tedarik eden ya da işlemden geçmiş metallere ya da metal içeren ara ürünlere dönüştüren şirketlerdir.</t>
    </r>
    <r>
      <rPr>
        <sz val="11"/>
        <color indexed="8"/>
        <rFont val="Verdana"/>
        <family val="2"/>
      </rPr>
      <t xml:space="preserve"> </t>
    </r>
    <r>
      <rPr>
        <sz val="11"/>
        <color indexed="8"/>
        <rFont val="Verdana"/>
        <family val="2"/>
      </rPr>
      <t>Çıktı olarak saf (%99,5 veya üzeri) metal, toz, külçe, çubuk, tanecik, oksit ya da tuz elde edilebilir.</t>
    </r>
    <r>
      <rPr>
        <sz val="11"/>
        <color indexed="8"/>
        <rFont val="Verdana"/>
        <family val="2"/>
      </rPr>
      <t xml:space="preserve"> </t>
    </r>
    <r>
      <rPr>
        <sz val="11"/>
        <color indexed="8"/>
        <rFont val="Verdana"/>
        <family val="2"/>
      </rPr>
      <t>“İzabe tesisi” ve “rafineri” terimleri farklı yayınlarda birbiri yerine kullanılmaktadır.</t>
    </r>
    <r>
      <rPr>
        <sz val="11"/>
        <color indexed="8"/>
        <rFont val="Verdana"/>
        <family val="2"/>
      </rPr>
      <t xml:space="preserve"> </t>
    </r>
  </si>
  <si>
    <r>
      <rPr>
        <sz val="11"/>
        <color indexed="8"/>
        <rFont val="Verdana"/>
        <family val="2"/>
      </rPr>
      <t>CFSP denetim protokollerinde tanımlanan izabe tesisi veya rafineri özelliklerini karşıladığı doğrulanmış olsun ya da olmasın CFSI'nin tedarik zincirinde izabe tesisi ya da rafineri olduğu belirtilen şirketlere atadığı benzersiz tanımlama numarası.</t>
    </r>
  </si>
  <si>
    <r>
      <rPr>
        <sz val="11"/>
        <color indexed="8"/>
        <rFont val="Verdana"/>
        <family val="2"/>
      </rPr>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CFSP denetleme protokolüne başvurun: http://www.conflictfreesourcing.org/audit-protocols-procedures/.</t>
    </r>
  </si>
  <si>
    <r>
      <rPr>
        <sz val="11"/>
        <color indexed="8"/>
        <rFont val="Verdana"/>
        <family val="2"/>
      </rPr>
      <t>Birincil [kalay</t>
    </r>
    <r>
      <rPr>
        <sz val="11"/>
        <color indexed="8"/>
        <rFont val="Verdana"/>
        <family val="2"/>
      </rPr>
      <t>]</t>
    </r>
    <r>
      <rPr>
        <sz val="11"/>
        <color indexed="8"/>
        <rFont val="Verdana"/>
        <family val="2"/>
      </rPr>
      <t xml:space="preserve"> izabe tesisleri, kalay metali üretmek için kalay içeren cevher konsantratlarını işleme alan bir veya daha fazla tesise sahip şirketlerdir.</t>
    </r>
    <r>
      <rPr>
        <sz val="11"/>
        <color indexed="8"/>
        <rFont val="Verdana"/>
        <family val="2"/>
      </rPr>
      <t xml:space="preserve"> </t>
    </r>
    <r>
      <rPr>
        <sz val="11"/>
        <color indexed="8"/>
        <rFont val="Verdana"/>
        <family val="2"/>
      </rPr>
      <t>İkincil [kalay</t>
    </r>
    <r>
      <rPr>
        <sz val="11"/>
        <color indexed="8"/>
        <rFont val="Verdana"/>
        <family val="2"/>
      </rPr>
      <t>]</t>
    </r>
    <r>
      <rPr>
        <sz val="11"/>
        <color indexed="8"/>
        <rFont val="Verdana"/>
        <family val="2"/>
      </rPr>
      <t xml:space="preserve"> izabe tesisleri, ham veya daha yüksek dereceli kalay veya lehim gibi kalay ürünleri üretmek için ikincil malzemeleri işleme alan bir veya daha fazla tesise sahip şirketlerdir.</t>
    </r>
    <r>
      <rPr>
        <sz val="11"/>
        <color indexed="8"/>
        <rFont val="Verdana"/>
        <family val="2"/>
      </rPr>
      <t xml:space="preserve"> </t>
    </r>
    <r>
      <rPr>
        <sz val="11"/>
        <color indexed="8"/>
        <rFont val="Verdana"/>
        <family val="2"/>
      </rPr>
      <t>Bu denetim protokolü kapsamında atıfta bulunulan izabe tesisleri bir veya iki işletme türünden olabilir.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</si>
  <si>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 xml:space="preserve">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</si>
  <si>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</si>
  <si>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</si>
  <si>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</si>
  <si>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</si>
  <si>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</si>
  <si>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</si>
  <si>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</si>
  <si>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</si>
  <si>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</si>
  <si>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</si>
  <si>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</si>
  <si>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</si>
  <si>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</si>
  <si>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</si>
  <si>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</si>
  <si>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</si>
  <si>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</si>
  <si>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</si>
  <si>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</si>
  <si>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</si>
  <si>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</si>
  <si>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</si>
  <si>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</si>
  <si>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1) 3TG ürününüze kasten mi eklendi? (*)</t>
    </r>
  </si>
  <si>
    <r>
      <rPr>
        <sz val="10"/>
        <color indexed="8"/>
        <rFont val="Verdana"/>
        <family val="2"/>
      </rPr>
      <t>2) 3TG şirketinizin ürünlerinin imalatı için gerekli mi ya da şirketinizin ürettiği veya üretme sözleşmesi yaptığı nihai ürünlerin içinde bulunuyor mu? (*)</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</si>
  <si>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</si>
  <si>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5) İlgili tedarikçilerden her bir 3TG için gerekli verileri/bilgileri aldınız mı?</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</si>
  <si>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</si>
  <si>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</si>
  <si>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</si>
  <si>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A.</t>
    </r>
    <r>
      <rPr>
        <sz val="11"/>
        <color indexed="8"/>
        <rFont val="Verdana"/>
        <family val="2"/>
      </rPr>
      <t xml:space="preserve"> </t>
    </r>
    <r>
      <rPr>
        <sz val="11"/>
        <color indexed="8"/>
        <rFont val="Verdana"/>
        <family val="2"/>
      </rPr>
      <t>İhtilaf konusu maden kaynakları ile ilgili sorunlar için bir politika uyguluyor musunuz?</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</si>
  <si>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</si>
  <si>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</si>
  <si>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</si>
  <si>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</si>
  <si>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0"/>
        <color indexed="8"/>
        <rFont val="Verdana"/>
        <family val="2"/>
      </rPr>
      <t>F.</t>
    </r>
    <r>
      <rPr>
        <sz val="10"/>
        <color indexed="8"/>
        <rFont val="Verdana"/>
        <family val="2"/>
      </rPr>
      <t xml:space="preserve"> </t>
    </r>
    <r>
      <rPr>
        <sz val="10"/>
        <color indexed="8"/>
        <rFont val="Verdana"/>
        <family val="2"/>
      </rPr>
      <t>Tedarikçilerinizden IPC-1755 İhtilaf Konusu Maden Veri Alışverişi Standardına uygun şekilde [ör: CFSI İhtilaf Konusu Maden Raporlama Şablonu</t>
    </r>
    <r>
      <rPr>
        <sz val="10"/>
        <color indexed="8"/>
        <rFont val="Verdana"/>
        <family val="2"/>
      </rPr>
      <t>]</t>
    </r>
    <r>
      <rPr>
        <sz val="10"/>
        <color indexed="8"/>
        <rFont val="Verdana"/>
        <family val="2"/>
      </rPr>
      <t xml:space="preserve"> ihtilaf konusu maden bilgileri topluyor musunuz?</t>
    </r>
  </si>
  <si>
    <r>
      <rPr>
        <sz val="11"/>
        <color indexed="8"/>
        <rFont val="Verdana"/>
        <family val="2"/>
      </rPr>
      <t>G.</t>
    </r>
    <r>
      <rPr>
        <sz val="11"/>
        <color indexed="8"/>
        <rFont val="Verdana"/>
        <family val="2"/>
      </rPr>
      <t xml:space="preserve"> </t>
    </r>
    <r>
      <rPr>
        <sz val="11"/>
        <color indexed="8"/>
        <rFont val="Verdana"/>
        <family val="2"/>
      </rPr>
      <t>Tedarikçilerinizden izabe tesisi adı alıyor musunuz?</t>
    </r>
  </si>
  <si>
    <r>
      <rPr>
        <sz val="11"/>
        <color indexed="8"/>
        <rFont val="Verdana"/>
        <family val="2"/>
      </rPr>
      <t>H.</t>
    </r>
    <r>
      <rPr>
        <sz val="11"/>
        <color indexed="8"/>
        <rFont val="Verdana"/>
        <family val="2"/>
      </rPr>
      <t xml:space="preserve"> </t>
    </r>
    <r>
      <rPr>
        <sz val="11"/>
        <color indexed="8"/>
        <rFont val="Verdana"/>
        <family val="2"/>
      </rPr>
      <t>Tedarikçilerinizden edindiğiniz durum tespiti bilgilerini şirketinizin beklentileri ile karşılaştırarak değerlendiriyor musunuz?</t>
    </r>
  </si>
  <si>
    <r>
      <rPr>
        <sz val="11"/>
        <color indexed="8"/>
        <rFont val="Verdana"/>
        <family val="2"/>
      </rPr>
      <t>I.</t>
    </r>
    <r>
      <rPr>
        <sz val="11"/>
        <color indexed="8"/>
        <rFont val="Verdana"/>
        <family val="2"/>
      </rPr>
      <t xml:space="preserve"> </t>
    </r>
    <r>
      <rPr>
        <sz val="11"/>
        <color indexed="8"/>
        <rFont val="Verdana"/>
        <family val="2"/>
      </rPr>
      <t>Değerlendirme süreciniz düzeltici eylem yönetimini içeriyor mu?</t>
    </r>
  </si>
  <si>
    <r>
      <rPr>
        <sz val="11"/>
        <color indexed="8"/>
        <rFont val="Verdana"/>
        <family val="2"/>
      </rPr>
      <t>J.</t>
    </r>
    <r>
      <rPr>
        <sz val="11"/>
        <color indexed="8"/>
        <rFont val="Verdana"/>
        <family val="2"/>
      </rPr>
      <t xml:space="preserve"> </t>
    </r>
    <r>
      <rPr>
        <sz val="11"/>
        <color indexed="8"/>
        <rFont val="Verdana"/>
        <family val="2"/>
      </rPr>
      <t>SEC İhtilaf Konusu Maden kurallarına tâbi misiniz?</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</si>
  <si>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</si>
  <si>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</si>
  <si>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</si>
  <si>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</si>
  <si>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</si>
  <si>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</si>
  <si>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</si>
  <si>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</si>
  <si>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</si>
  <si>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</si>
  <si>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</si>
  <si>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Evet, %100</t>
    </r>
  </si>
  <si>
    <r>
      <rPr>
        <sz val="11"/>
        <color indexed="8"/>
        <rFont val="Verdana"/>
        <family val="2"/>
      </rPr>
      <t>Hayır, ancak %75'ten fazla</t>
    </r>
    <r>
      <rPr>
        <sz val="11"/>
        <color indexed="8"/>
        <rFont val="Verdana"/>
        <family val="2"/>
      </rPr>
      <t xml:space="preserve"> </t>
    </r>
  </si>
  <si>
    <r>
      <rPr>
        <sz val="11"/>
        <color indexed="8"/>
        <rFont val="Verdana"/>
        <family val="2"/>
      </rPr>
      <t>Hayır, ancak %50'den fazla</t>
    </r>
  </si>
  <si>
    <r>
      <rPr>
        <sz val="11"/>
        <color indexed="8"/>
        <rFont val="Verdana"/>
        <family val="2"/>
      </rPr>
      <t>Hayır, ancak %25'ten fazla</t>
    </r>
  </si>
  <si>
    <r>
      <rPr>
        <sz val="11"/>
        <color indexed="8"/>
        <rFont val="Verdana"/>
        <family val="2"/>
      </rPr>
      <t>Hayır, ancak %25'ten az</t>
    </r>
  </si>
  <si>
    <r>
      <rPr>
        <sz val="11"/>
        <color indexed="8"/>
        <rFont val="Verdana"/>
        <family val="2"/>
      </rPr>
      <t>Hiçbiri</t>
    </r>
  </si>
  <si>
    <r>
      <rPr>
        <sz val="11"/>
        <color indexed="8"/>
        <rFont val="Verdana"/>
        <family val="2"/>
      </rPr>
      <t>Metal</t>
    </r>
  </si>
  <si>
    <r>
      <rPr>
        <sz val="11"/>
        <color indexed="8"/>
        <rFont val="Verdana"/>
        <family val="2"/>
      </rPr>
      <t>İzabe Tesisi Referans Listesi</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</si>
  <si>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</si>
  <si>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</si>
  <si>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</si>
  <si>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Eski İzabe Tesisi Kimliği</t>
    </r>
  </si>
  <si>
    <r>
      <rPr>
        <sz val="11"/>
        <color indexed="8"/>
        <rFont val="Verdana"/>
        <family val="2"/>
      </rPr>
      <t>Yeni İzabe Tesisi Kimliği</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</si>
  <si>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</si>
  <si>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</si>
  <si>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</si>
  <si>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</si>
  <si>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Metal (*)</t>
    </r>
  </si>
  <si>
    <r>
      <rPr>
        <sz val="11"/>
        <color indexed="8"/>
        <rFont val="Verdana"/>
        <family val="2"/>
      </rPr>
      <t>İzabe Tesisi Referans Listesi (*)</t>
    </r>
  </si>
  <si>
    <r>
      <rPr>
        <sz val="11"/>
        <color indexed="8"/>
        <rFont val="Verdana"/>
        <family val="2"/>
      </rPr>
      <t>İzabe Tesisi Adı (*)</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</si>
  <si>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</si>
  <si>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</si>
  <si>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</si>
  <si>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</si>
  <si>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</si>
  <si>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</si>
  <si>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</si>
  <si>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"CFSP Uyumlu İzabe Tesisi Listesi" bağlantısı</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</si>
  <si>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</si>
  <si>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</si>
  <si>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</si>
  <si>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</si>
  <si>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</si>
  <si>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</si>
  <si>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</si>
  <si>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</si>
  <si>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</si>
  <si>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</si>
  <si>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</si>
  <si>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</si>
  <si>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</si>
  <si>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</si>
  <si>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</si>
  <si>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</si>
  <si>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</si>
  <si>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</si>
  <si>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</si>
  <si>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</si>
  <si>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</si>
  <si>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</si>
  <si>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</si>
  <si>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</si>
  <si>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</si>
  <si>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</si>
  <si>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</si>
  <si>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</si>
  <si>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</si>
  <si>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</si>
  <si>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</si>
  <si>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</si>
  <si>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</si>
  <si>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</si>
  <si>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</si>
  <si>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</si>
  <si>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</si>
  <si>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</si>
  <si>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</si>
  <si>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</si>
  <si>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</si>
  <si>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</si>
  <si>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</si>
  <si>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</si>
  <si>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</si>
  <si>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</si>
  <si>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</si>
  <si>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</si>
  <si>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Doğrudan tedarikçilerinizin İhtilafsız Kaynak Edinme Girişimi uyumlu izabe tesisi listesini kullanarak DKC ihtilafı içermediği onaylanmış izabe tesislerini kullanmasını şart koşup koşmadığınızı Beyan sekmesi hücre D75'te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</si>
  <si>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</si>
  <si>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</si>
  <si>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</si>
  <si>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</si>
  <si>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</si>
  <si>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</si>
  <si>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</si>
  <si>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</si>
  <si>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</si>
  <si>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</si>
  <si>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</si>
  <si>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</si>
  <si>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</si>
  <si>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</si>
  <si>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</si>
  <si>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</si>
  <si>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</si>
  <si>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</si>
  <si>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</si>
  <si>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</si>
  <si>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</si>
  <si>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</si>
  <si>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</si>
  <si>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</si>
  <si>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</si>
  <si>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</si>
  <si>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</si>
  <si>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</si>
  <si>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</si>
  <si>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</si>
  <si>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</si>
  <si>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</si>
  <si>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AURA-II</t>
  </si>
  <si>
    <t>CID002851</t>
  </si>
  <si>
    <t>Milwaukee</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</si>
  <si>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</si>
  <si>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</si>
  <si>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</si>
  <si>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</si>
  <si>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</si>
  <si>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</si>
  <si>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</si>
  <si>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</si>
  <si>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</si>
  <si>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</si>
  <si>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</si>
  <si>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</si>
  <si>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</si>
  <si>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</si>
  <si>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</si>
  <si>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</si>
  <si>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</si>
  <si>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</si>
  <si>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</si>
  <si>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</si>
  <si>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</si>
  <si>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</si>
  <si>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</si>
  <si>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</si>
  <si>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</si>
  <si>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</si>
  <si>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</si>
  <si>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</si>
  <si>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</si>
  <si>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</si>
  <si>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</si>
  <si>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</si>
  <si>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</si>
  <si>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</si>
  <si>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</si>
  <si>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</si>
  <si>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</si>
  <si>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</si>
  <si>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</si>
  <si>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</si>
  <si>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</si>
  <si>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</si>
  <si>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</si>
  <si>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</si>
  <si>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</si>
  <si>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</si>
  <si>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</si>
  <si>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</si>
  <si>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</si>
  <si>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</si>
  <si>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</si>
  <si>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An Thai Minerals Co., Ltd.</t>
  </si>
  <si>
    <t>Chenzhou Yunxiang Mining and Metallurgy Co., Ltd.</t>
  </si>
  <si>
    <t>Guang Xi Liu Zhou</t>
  </si>
  <si>
    <t>CooperMetal</t>
  </si>
  <si>
    <t>Elmet S.L.U.</t>
  </si>
  <si>
    <t>Gejiu Fengming Metallurgy Chemical Plant</t>
  </si>
  <si>
    <t>Gejiu Jinye Mineral Company</t>
  </si>
  <si>
    <t>CID002859</t>
  </si>
  <si>
    <t>YunNan Gejiu Yunxin Electrolyze Limited</t>
  </si>
  <si>
    <t>YUNXIN colored electrolysis Company Limited</t>
  </si>
  <si>
    <t>Shunda Huichang Kam Tin Co., Ltd.</t>
  </si>
  <si>
    <t>Melt Metais e Ligas S.A.</t>
  </si>
  <si>
    <t>Nongkham Sriracha</t>
  </si>
  <si>
    <t>CV JusTindo</t>
  </si>
  <si>
    <t>PT O.M. Indonesia</t>
  </si>
  <si>
    <t>CID002757</t>
  </si>
  <si>
    <t>INDONESIAN STATE TIN CORPORATION MENTOK SMELTER</t>
  </si>
  <si>
    <t>Yunnan Tin Company Limited</t>
  </si>
  <si>
    <t>Human Chun-Chang non-ferrous Smelting &amp; Concentrating Co., Ltd.</t>
  </si>
  <si>
    <t>Huanglong</t>
  </si>
  <si>
    <t>Philippine Chuangxin Industrial Co., Inc.</t>
  </si>
  <si>
    <t>CID002858</t>
  </si>
  <si>
    <t>TANAKA Electronics (Malaysia) SDN. BHD.</t>
  </si>
  <si>
    <t>Bangalore</t>
  </si>
  <si>
    <t>Karnataka</t>
  </si>
  <si>
    <t>Kawasan Perindustrian Bukit Rambai</t>
  </si>
  <si>
    <t>Melaka</t>
  </si>
  <si>
    <t>Moerdijk</t>
  </si>
  <si>
    <t>North Brabant</t>
  </si>
  <si>
    <t>Lusaka Province</t>
  </si>
  <si>
    <t>Skopje</t>
  </si>
  <si>
    <t>The Skopje Statistical Region</t>
  </si>
  <si>
    <t>Bekasi</t>
  </si>
  <si>
    <t>Belitung</t>
  </si>
  <si>
    <t>Sumping Desa Batu Peyu</t>
  </si>
  <si>
    <t>All rows with "Smelter not listed" selected, have a name and country listed</t>
  </si>
  <si>
    <t>N/A</t>
  </si>
  <si>
    <t>Please complete columns D &amp; E on Smelter List for all rows "Smelter Not Listed" selected in column C</t>
  </si>
  <si>
    <t>© 2016 Conflict-Free Sourcing Initiative. All rights reserved.</t>
  </si>
  <si>
    <t>© 2016 İhtilafsız Kaynak Edinme Girişimi. Tüm hakları saklıdır.</t>
  </si>
  <si>
    <t xml:space="preserve">此冲突矿产报告模板（模板）是由 Electronic Industry Citizenship Coalition（电子行业公民联盟）®(EICC®) 和 Global e-Sustainability Initiative （全球电子永续倡议，GeSI）创建的免费标准报告模板。该模板促进了通过关于矿产原产国、所使用的冶炼厂和精炼厂的供应链的信息传输，并且支持了法律的合规性*。该模板还促进辨识新的冶炼厂和精炼厂以通过无冲突冶炼厂计划对这些厂家进行潜在的审核**。
CMRT 允许下游企业披露与其供应链（截至但不包括冶炼厂）有关的信息。如果您是 3TG 冶炼厂或精炼厂，根据 CFSP 协议，我们建议您在冶炼厂目录选项卡中输入您的名称。
填好表格后，单元格条目不应以“=”或“#”开头。
</t>
  </si>
  <si>
    <t xml:space="preserve">この紛争鉱物報告テンプレート（テンプレート）は、Electronic Industry Citizenship Coalition®（EICC®）およびGlobal e-Sustainability Initiative（GeS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コンフリクトフリー製錬業者（CFS）プログラムの監査を受けることにつながる可能性のある、新たな製錬・精製業者の特定もサポートします**。
CMRTは、下流企業が（精錬業者までの）サプライチェーンに関する情報を開示するために、こうした企業向けに考案されたものです。3TG精錬業者または精製業者の場合は、CFSPプロトコルに従い精製業者リストタブに貴社名を記入することをお勧めします。
同書に記入する際、セルへの記入内容が「=」または「#」で始まることはできません。
</t>
  </si>
  <si>
    <t xml:space="preserve">본 분쟁광물보고 템플릿(템플릿)은 EICC®(Electronic Industry Citizenship Coalition®, 전자산업시민연대)와 GeSI(Global e-Sustainability Initiative, 글로벌 e-지속가능성 운동)가 만든 표준화된 무료 보고 템플릿입니다. 템플릿은 광물 원산국 및 사용하는 제련소 및 정제소와 관련된 공급망을 통해 정보의 빠른 전달을 촉진하고 법규 준수*에도 도움이 됩니다. 또한 템플릿은 분쟁없는 제련소 프로그램**을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CFSP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</si>
  <si>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Electronic Industry Citizenship Coalition® (EICC®) et la Global e-Sustainability Initiative (GeSI).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(Conflict-Free Smelter Program)**.
Le CMRT a été conçu pour que les sociétés en aval divulguent des informations sur leurs chaînes d’approvisionnement jusqu’à la fonderie, sans toutefois inclure cette dernière. Si vous exploitez une fonderie ou une affinerie 3TG, conformément aux protocoles CFSP,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</si>
  <si>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Electronic Industry Citizenship Coalition® (EICC®) e pela Iniciativa Global de e-Sustentabilidade (Global e-Sustainability Initiative - GeSI).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(Conflict-Free Smelter Program, CFSP)**.
O CMRT foi desenvolvido para que empresas de extração divulguem informações sobre suas cadeias de suprimento, mas sem incluir a fundição.  Se você for uma fundição ou refinaria de minerais de conflito, de acordo com os protocolos do CFSP, recomendamos que insira seu nome na guia da lista de fundições.
Ao preencher o formulário, nenhuma das células deve ser iniciada com “=” ou “#”.
 </t>
  </si>
  <si>
    <t xml:space="preserve">Diese Vorlage für den Konfliktmineralien-Bericht (Vorlage) ist eine kostenlose, standardisierte Berichtsvorlage, die durch die Electronic Industry Citizenship Coalition® (EICC®) und die Global 
e-Sustainability Initiative (GeSI)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das Programm für Konfliktfreie Schmelzöfen**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CFSP-Protokollen sind, empfehlen wir Ihnen, Ihren eigenen Namen ins Schmelzofenliste-Tab einzutragen.
Beim Ausfüllen des Formulars, sollte keine der Zeilen mit „=“ oder „#“ beginnen.
</t>
  </si>
  <si>
    <t xml:space="preserve">Esta plantilla de informe de minerales en conflicto (la Plantilla) es un formato de reporte estandarizado y gratuito creado por Electronic Industry Citizenship Coalition® (EICC®) y Global e-Sustainability Initiative (GeSI).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Conflict-Free Smelter Program (Programa de fundidoras libres de conflictos) **.
 El CMRT fue diseñado por empresas comercializadoras para revelar información sobre sus cadenas de suministro hacia arriba, pero sin incluir a la fundidora.   Si usted es una fundidora o refinadora de 3TG, de acuerdo con los protocolos de CFSP, le recomendamos que ingrese su propio nombre en la pestaña de la lista de fundidoras. 
Al llenar el formulario, ninguno de los datos de las celdas debe empezar con "=" o "#". 
</t>
  </si>
  <si>
    <t xml:space="preserve">Il presente Modello per la segnalazione dei materiali di conflitto (Conflict Minerals Reporting, CMRT), in seguito “Modello”, è un documento standard e gratuito creato da Electronic Industry Citizenship Coalition ® (EICC®) e da Global e-Sustainability Initiative (GeSI).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Conflict-Free Smelter Program**.
Il CMRT è stato concepito per guidare le aziende nella comunicazione delle informazioni relative alle proprie filiere, fino alla fase che precede la fonderia. Se la vostra azienda è una fonderia o raffineria di metalli di conflitto, in base ai protocolli CFSP, vi consigliamo di inserire il vostro nome nel foglio con l’elenco delle fonderie.
Nel compilare il Modulo, non inserire mai i caratteri “=” o “#” all’inizio del testo di qualsiasi cella.
</t>
  </si>
  <si>
    <t xml:space="preserve">Bu İhtilaf Konusu Madenler Raporlama Şablonu (Şablon) EElectronic Industry Citizenship Coalition® (EICC) ve Global e-Sürdürülebilirlik Girişimi (GeSI)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İhtilafsız İzabe Tesisi Programı**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CFSP protokolleri doğrultusunda bir 3TG izabe tesisi veya rafinerici iseniz, izabe tesisi listesi sekmesine kendi adınızı girmenizi öneriyoruz.
Form doldurulduğunda, hücre girişlerinin hiçbiri "=" veya "#" ile başlamamalıdır.
</t>
  </si>
  <si>
    <t xml:space="preserve">1. 这是两个问题中的第一个问题，其答复用来确定 3TG 是否在冲突矿产报告要求的范围内。此问题以 SEC 在关于确定 3TG 是否对于产品的“功能有必要”的最终规则中规定的准则为准。SEC 准则是以这样的假设为依据：如果 3TG 对于产品的广泛预期功能、用法或用途没有必要，则产品供应链中的公司不会有意增加该 3TG 到该产品或产品的任何子组件中。此问题的此答复用于排除任何痕量级杂质，如钢中的锡。
此问题询问是否有任何冲突矿物在贵公司生产或外包生产的产品中用作原材料、组件或添加物（包括原材料和组件）。原材料、组件、添加物、磨具和切削工具中的杂质不在此调查范围。
必须为每个 3TG 回答此问题。此问题的有效答复为“是”或“否”。此问题必须作答。
</t>
  </si>
  <si>
    <t xml:space="preserve">1. これは2つある質問の1つ目の質問であり、3TGが紛争鉱物報告要件の範囲内に当てはまるか否かを判定するために使用されます。この質問は、3TGが製品の「機能性にとって必要」か否かを判定する方法に関する最終規則においてSECが規定したガイダンスに基づくものです。SECガイダンスでは、その3TGが一般に予想される製品の機能、使用または目的に必要ではない場合には、製品のサプライチェーン内に存在する企業は3TGをその製品または製品の部品に意図的に付加しないという前提を、その根拠においています。この質問に対するこの回答は、鋼中のスズといった微量の汚染物質を排除する役割を果たします。
この質問では、貴社が製造するまたは委託して製造する製品（原材料および部品を含む）の原材料、部品、または添加物に紛争鉱物が使用されているのか否かをお伺いします。原材料、部品、添加物、研磨剤および切削工具からの不純物は本調査の範囲外です。
この質問には、3TGそれぞれについて回答するべきです。この質問には、「Yes（はい）」または「No（いいえ）」で回答してください。この質問への回答は必須です。
</t>
  </si>
  <si>
    <t xml:space="preserve">1. 이것은 3TG가 분쟁 광물 보고 요건 범위 내에 있는지 여부를 결정하기 위한 두 개의 질문 중 첫 번째 질문입니다. 이 질문은 3TG가 제품의 “기능에 필요”한지 여부를 결정하는 것과 관련된 SEC의 최종 규칙에서 제공하는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이 질문에 대한 이러한 답변은 강철 내의 주석과 같은 모든 미소량 오염 물질을 배제하기 위해 사용됩니다. 
이 질문은 귀사가 제조하거나 계약 제조한 제품(원료 및 구성요소 포함)에서 원료, 구성요소 또는 첨가제로서 어떤 분쟁 광물이 사용되는지를 묻습니다. 원료, 구성요소, 첨가제, 연마제, 절삭 공구에서 나온 불순물은 본 조사의 범위가 아닙니다. 
이 질문은 각 3TG에 대해 답해야 합니다. 이 질문에 대한 유효한 답변은 "Yes" 또는 "No"입니다. 이 질문은 필수 사항입니다. 
</t>
  </si>
  <si>
    <t xml:space="preserve">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La réponse à cette question sert à exclure la contamination en quantité infime, notamment dans le cas de l’étain dans l’acier.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 
Vous devrez répondre à cette question pour chacun des 3TG. Les réponses valides à cette question sont « oui » ou « non ». Cette question est obligatoire.
</t>
  </si>
  <si>
    <t xml:space="preserve">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A resposta a essa pergunta serve para excluir quaisquer contaminantes de nível de rastreamento, tais como estanho em aço.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
</t>
  </si>
  <si>
    <t xml:space="preserve">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Die Antwort auf diese Frage soll alle Kontaminantenrückstände, wie Zinn in Stahl, ausschließen.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
</t>
  </si>
  <si>
    <t xml:space="preserve">1. Esta es la primera de dos preguntas cuya respuesta se usa para determinar si el 3TG se encuentra dentro del enfoque de los requerimientos del informe de minerales en conflicto. Esta pregunta depende de la guía suministrada por la SEC en las reglas finales para determinar si un 3TG es "necesario para la funcionalidad"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La respuesta a esta pregunta sirve para excluir cualquier contaminante a nivel de pista como el estaño en el acero. 
Este punto pregunta si se usa algún mineral en conflicto como materia prima, componente o aditivo en un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
</t>
  </si>
  <si>
    <t xml:space="preserve">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La risposta a questa domanda serve ad escludere eventuali contaminanti in tracce come la latta nell’acciaio.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
</t>
  </si>
  <si>
    <t xml:space="preserve">1. Bu, yanıtın 3TG'nin ihtilaf konusu maden raporlama gereksinimleri kapsamında olup olmadığını tespit etmek için kullanıldığı iki sorunun birincisidir. Bu soru, bir 3TG bir ürüne ait “işlevsellik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Bu soruya yönelik bu yanıt, çelikteki kalay gibi eser düzeydeki kirleticileri kapsam dışı bırakmaya yarar. 
Bu soru, herhangi bir ihtilaf konusu madenin hammadde, bileşen veya ürettiğiniz veya fason ürettirdiğiniz (hammadde ve bileşenler dâhil)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
</t>
  </si>
  <si>
    <t xml:space="preserve">2. 这是两个问题中的第二个问题，其答复用来确定 3TG 是否在 SEC 关于确定 3TG 是否对产品的“生产有必要”的最终规则中所述的冲突矿产报告要求的范围内。此问题与问题 1 的问题和答复分开且与其无关。此询问旨在确定在产品生产过程中有意使用的 3TG，以及一定数量的 3TG 保留在成品中何处。这些 3TG 可能并非要成为成品中的一部分，也可能并非对产品的“功能有必要”，而只是生产过程的残留物。在很多情况下，制造商可能已在生产过程中试图除去或促进消耗的 3TG，但还是有一定数量的 3TG 残留。如果在生产过程中使用的 3TG 在该过程中彻底除去，则此问题的答复是“否”。
必须为每个 3TG 回答此问题。此问题的有效答复为“是”或“否”。此问题必须作答。
</t>
  </si>
  <si>
    <t xml:space="preserve">2. これは2つある質問の2つ目の質問であり、3TGが製品の「生産にとって必要」か否かを判定する方法に関するSECの最終規則で規定されている紛争鉱物報告要件の範囲内に3TGが当てはまるか否かを判定するために使用されます。この質問は、質問1の質問や回答とは別個のものです。この質問は、製品の製造過程において意図的に使用された3TGを特定すること、および完成品のどこに、ある程度の3TGが残留するかを特定するためのものです。この3TGは本来完成品の一部を成すはずではなく、製品の「機能性にとって必要」な可能性は低いものの、製造過程の残留物として存在するに過ぎない可能性が高いと言えます。多くの場合、メーカーは製造過程中に3TGの削除または消耗を促進しようと努めますが、ある程度の3TGが残留します。製造過程中に使用される3TGがその過程中に完全に削除される場合、この質問に対する回答は「No（いいえ）」です。
一つ一つの3TGについて、この質問にお答えください。「Yes（はい）」または「No（いいえ）」で必ず回答してください。この質問への回答は必須です。
</t>
  </si>
  <si>
    <t xml:space="preserve">2. 이것은 3TG가 제품의 “생산에 필요”한지 여부를 결정하는 것과 관련해 SEC의 최종 규칙에 설명된 바와 같이 3TG가 분쟁 광물 보고 요건의 범위에 속하는지 여부를 결정하기 위한 두 개의 질문 중 두 번째 질문입니다. 이 질문은 별개의 내용으로, 질문 1에 대한 질의응답과 독립적인 내용입니다. 이것은 3TG가 회사 제품의 생산에 필요하고 회사가 제조하거나 계약제조된 최종 생산품에 포함되어 있는지 확인하기 위한 질문입니다. 이러한 3TG는 최종 제품의 일부가 되기 위한 것이 아니었을 수 있으며, 제품의 “기능에 필요”하지 않을 수도 있습니다. 다만, 제조 공정의 잔여물로만 남아있을 가능성이 큽니다. 많은 경우에 제조업체는 제조 공정 중에 사용된 3TG가 사라지게 하거나 촉매로 사용할 수도 있습니다. 그러나, 소량의 3TG가 남을 수 있습니다. 제조 공정 중에 사용되는 3TG가 제품 제조시 완전히 제거되는 경우, 이 질문에 대한 답변은 “No”입니다.
이 질문은 3TG 각각에 대해 대답해야 합니다. 이 질문에 대한 유효한 답변은 "Yes" 또는 "No"입니다. 이 질문은 필수 사항입니다. 
</t>
  </si>
  <si>
    <t xml:space="preserve">2. Il s’agit de la deuxième des deux questions pour lesquelles la réponse est utilisée pour déterminer si les 3TG sont concernés par l’obligation de déclaration des minerais de conflit, telle que décrite dans les règles définitives de la SEC pour déterminer si un des 3TG est « indispensable à la production » d’un produit. Cette question est séparée et indépendante de la question et de la réponse à la question 1. Cette question vise à identifier les 3TG qui sont utilisés volontairement dans le processus de fabrication d’un produit, et lorsqu’une certaine quantité de 3TG demeure dans le produit fini. Ces 3TG n’étaient probablement pas destinés à faire partie du produit final et n’étaient probablement pas « indispensables au fonctionnement » du produit. Ils étaient présents uniquement en tant que résidus du processus de fabrication. Dans de nombreux cas, le fabricant peut avoir tenté de supprimer ou faciliter la consommation de 3TG lors du processus de fabrication, mais une certaine quantité de 3TG demeure. Si les 3TG, qui sont utilisés pendant le processus de fabrication, venaient à être entièrement supprimés de ce processus, la réponse à cette question serait « non ».
Il convient de répondre à cette question pour chaque 3TG. Les réponses valides à cette question sont « oui » ou « non ». Cette question est obligatoire. 
</t>
  </si>
  <si>
    <t xml:space="preserve">2. Esta é a segunda de duas perguntas para as quais a resposta é utilizada para determinar se o mineral de conflito está dentro do âmbito dos requisitos de relatórios de minerais de conflito, conforme descrito nas regras finais da SEC relativas à determinação de se um mineral de conflito é “necessário para a produção” de um produto.  Essa pergunta é separada e independente da pergunta e da resposta à pergunta 1.  Esta pergunta destina-se a identificar minerais de conflitos que são intencionalmente utilizados no processo de fabricação de um produto e os casos em que certa quantidade do mineral de conflito permanece no produto acabado.  É provável que não se intencionava que tais minerais de conflito fizessem parte do produto final, nem que sejam “necessários para a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Caso o mineral de conflito utilizado durante o processo de fabricação seja completamente removido durante esse processo, a resposta a esta pergunta seria “Não”.
Esta pergunta deve ser respondida para cada mineral de conflito. Respostas válidas a esta pergunta são “Sim” ou “Não”. Esta pergunta é obrigatória. 
</t>
  </si>
  <si>
    <t xml:space="preserve">2. Dies ist die zweite von zwei Fragen, bei denen die Antwort zur Bestimmung verwendet wird, ob das 3TG-Mineral in den Umfang der Meldepflichten für Konfliktmineralien fällt, wie in den endgültigen Regeln der SEC hinsichtlich der Bestimmung, ob ein 3TG-Mineral „notwendig für die Produktion“ eines Produktes ist, beschrieben wird. Diese Frage ist getrennt und unabhängig von der Frage und der Antwort zu Frage 1. Diese Frage soll diejenigen 3TG-Mineralien identifizieren, die absichtlich im Herstellungsprozess eines Produkts verwendet werden, wobei eine bestimmte Menge von 3TG-Mineralien in dem Endprodukt zurückbleibt. Diese 3TG-Mineralien sollten wahrscheinlich nicht absichtlich Bestandteile des Endprodukts werden und waren wahrscheinlich auch nicht „notwendig für die Funktionalität des Produkts“, sondern sind nur als Rückstände des Herstellungsprozesses vorhanden. In vielen Fällen wird der Hersteller versucht haben, die 3TG-Mineralien zu entfernen oder den Verbrauch derselben während des Herstellungsprozesses zu ermöglichen, jedoch bleibt eine bestimmte Menge der 3TG-Mineralien zurück. Sollte das 3TG-Mineral, das im Herstellungsprozess verwendet wird, während dieses Prozesses vollständig eliminiert werden, müsste die Antwort auf diese Frage „Nein“ lauten. 
Diese Frage muss für jedes 3TG beantwortet werden. Gültige Antworten auf diese Frage sind entweder „Ja“ oder „Nein“. Diese Frage muss beantwortet werden. 
</t>
  </si>
  <si>
    <t xml:space="preserve">2. Esta es la segunda de dos preguntas cuya respuesta se usa para determinar si el 3TG se encuentra dentro del enfoque de los requerimientos del informe de minerales en conflicto como se describe en las reglas finales de la SEC para determinar si un 3TG es "necesario para la fabricación" de un producto.  Esta pregunta es separada e independiente de la pregunta y la respuesta de la pregunta 1.  Se pretende que este cuestionario identifique los 3TG que se utilizan intencionalmente en el proceso de fabricación de un producto y en donde cierta cantidad del 3TG permanece en el producto terminado.  Probablemente estos 3TG no fueron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utilizado durante el proceso de fabricación se elimina completamente durante ese proceso, la respuesta a esta pregunta sería "no".
 Se debe responder esta pregunta para cada 3TG.  Las respuestas válidas para esta pregunta son "sí" o "no". Esta pregunta es obligatoria. 
</t>
  </si>
  <si>
    <t xml:space="preserve">2.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produzione” di un prodotto. Questa domanda è separata e indipendente dalla domanda e dalla risposta alla domanda 1. Questo quesito ha lo scopo di individuare i metalli di conflitto che vengono deliberatamente utilizzati nel processo di fabbricazione di un prodotto e dove rimangono residui dei metalli di conflitto nel prodotto finito. Questi metalli di conflitto probabilmente non erano destinati a diventare parte del prodotto finale, né sono probabilmente “necessari alla funzionalità” del prodotto, ma sono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utilizzato durante il processo di fabbricazione venisse completamente eliminato durante tale processo, la risposta a questa domanda dovrebbe essere “no”.
La risposta a questa domanda deve essere fornita per ogni metallo di conflitto. Le risposte valide a questa domanda sono “sì” o “no”. Questa domanda è obbligatoria. 
</t>
  </si>
  <si>
    <t xml:space="preserve">2. Bu, bir ürünün “üretimi için bir 3TG'nin gerekli olup olmadığını” tespit edilmesine ilişkin SEC nihai kurallarında açıklanan şekilde, yanıtın 3TG'nin ihtilaf konusu maden raporlama gereksinimleri kapsamında olup olmadığını tespit etmek için kullanıldığı iki sorunun ikincisidir.  Bu soru, sorudan ve 1. soruya verilen yanıttan ayrı ve bağımsızdır.  Bu sorgu, bir ürünün üretim sürecinde bilerek kullanlan 3TG'leri ve bitmemiş üründe 3TG miktarının bulunduğunu belirlemeyi tasarlamaktadır.  Bu 3TG'lerin son ürünün bir parçası olması amaçlanmamakta ya da bunların “ürünün işlevselliği için gerekli” olduğu düşünülmemekte ancak bunlar imalat sürecinin kalıntıları olarak üründe mevcut bulunmaktadır.  Pek çok durumda, üretici üretim süreci esnasında 3TG'nin tüketimini sona erdirmeye veya kolaylaştırmaya çalışmış olabilir, ancak bir kısım 3TG kalır.  Üretim süreci esnasında kullanılan 3TG'nin söz konusu süreçte tamamen kaldırılması halinde, bu sorunun yanıtı “hayır” olmalıdır.
Bu soru, her bir 3TG için yanıtlanacaktır. Bu soruya yönelik geçerli yanıtlar “evet” veya “hayır”dır. Bu soru zorunludur. 
</t>
  </si>
  <si>
    <t xml:space="preserve">13. 矿场名称-此字段可让公司为冶炼厂正在使用的实际矿场取名。如果已知实际矿场的名称，请输入该名称。如果冶炼厂的所有原料均来自回收料或报废料资源，则输入“回收料”或“报废料”以取代矿场名称，并在 P 列回答“是”。
“根据 CFSI 确认 RCOI”可能是该问题的一个可以接受的回答。
</t>
  </si>
  <si>
    <t xml:space="preserve">13. 鉱山名－この欄で企業は、精錬業者が使用している実際の鉱山を記載できます。判明している場合は実際の鉱山名を記入してください。精錬業者が原料の100%をリサイクル業者またはスクラップサプライヤーから調達している場合は、鉱山名の代わりに「Recycled（リサイクル業者）」または「Scrap（スクラップサプライヤー）」と記入し、P列に「Yes（はい）」と回答してください。
この質問では「RCOI confirmed as per CFSI（CFSIにより確認されたRCOI）」と回答することもできます。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</si>
  <si>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"CFSI에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</si>
  <si>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CFSI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</si>
  <si>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</si>
  <si>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CFSI“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</si>
  <si>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CFSI" (RCOI confirmado por CFSI)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</si>
  <si>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CFSI”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</si>
  <si>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”CFSI uyarınca onaylanan RCOI” bu soruya kabul edilebilir bir yanıt olabilir.
</t>
  </si>
  <si>
    <t xml:space="preserve">14. 矿场地点（国家）-这是可自由输入文字的字段，可让公司注明冶炼厂正在使用的矿场地点。请输入矿场所在国家。如果原产国未知，则输入“不知道”。如果冶炼厂的所有原料均来自回收料或报废料资源，则输入“回收料”或“报废料”以取代原产国。此字段自由选择填写。
“根据 CFSI 确认 RCOI”可能是该问题的一个可以接受的回答。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</si>
  <si>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
この質問では「RCOI confirmed as per CFSI（CFSIにより確認されたRCOI）」と回答することもできます。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</si>
  <si>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"CFSI에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</si>
  <si>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CFSI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</si>
  <si>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</si>
  <si>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CFSI“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</si>
  <si>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CFSI" (RCOI confirmado por CFSI)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</si>
  <si>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CFSI”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</si>
  <si>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”CFSI uyarınca onaylanan RCOI” bu soruya yönelik kabul edilebilir bir yanıt olabilir.
</t>
  </si>
  <si>
    <t>3) 贵公司供应链中的任何冶炼厂是否从所指明的国家采购 3TG？ （SEC 术语，参见定义选项卡）</t>
  </si>
  <si>
    <t>3）御社サプライチェーン内の製錬業者のいずれかが、対象国を3TGの原産地としていますか？（SEC用語。定義タブを参照）</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</si>
  <si>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</si>
  <si>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</si>
  <si>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</si>
  <si>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</si>
  <si>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</si>
  <si>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</si>
  <si>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</si>
  <si>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</si>
  <si>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InstructionsA52</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</si>
  <si>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</si>
  <si>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5)御社は全ての関連サプライヤーから、各3TGに関するデータ／情報を受け取っていますか？</t>
  </si>
  <si>
    <t>Power Resources Ltd.</t>
  </si>
  <si>
    <t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t>
  </si>
  <si>
    <t>CFSI website: (www.conflictfreesourcing.org)
Training and guidance, template, Conflict-Free Smelter Program compliant smelter list.</t>
  </si>
  <si>
    <t>C. Please answer “Yes” or “No”.  Provide any comments if necessary.  See Definitions worksheet for definition of "DRC conflict-free".</t>
  </si>
  <si>
    <t xml:space="preserve">Note:  Entries with (*) are mandatory fields. </t>
  </si>
  <si>
    <t>z</t>
  </si>
  <si>
    <t>Ōita</t>
  </si>
  <si>
    <t>2. Metal (*)   -   Use the pull down menu to select the metal for which you are entering smelter information.  This field is mandatory.</t>
  </si>
  <si>
    <t>4. Smelter Name (*)- Fill in smelter name if you selected "Smelter Not Listed" in column C.  This field will auto-populate when a smelter name in selected in Column C.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</si>
  <si>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</si>
  <si>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</si>
  <si>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</si>
  <si>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</si>
  <si>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</si>
  <si>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</si>
  <si>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</si>
  <si>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12. Smelter Contact Email – Fill in the email address of the Smelter Facility contact person who was identified as the Smelter Contact Name.  Example: John.Smith@SmelterXXX.com.  Please review the instructions for Smelter Contact Name before completing this field.</t>
  </si>
  <si>
    <t>17. 注释 - 用自由的格式的文字栏来输入任何有关冶炼厂的意见。例如：冶炼厂正在被YYY公司收购</t>
  </si>
  <si>
    <r>
      <t>21. 金属（</t>
    </r>
    <r>
      <rPr>
        <vertAlign val="superscript"/>
        <sz val="11"/>
        <rFont val="Calibri"/>
        <family val="2"/>
      </rPr>
      <t>*</t>
    </r>
    <r>
      <rPr>
        <sz val="11"/>
        <rFont val="Calibri"/>
        <family val="2"/>
      </rPr>
      <t xml:space="preserve">）- 在下拉菜单中选择正在录入信息的冶炼厂所提炼的金属。 </t>
    </r>
  </si>
  <si>
    <t>2. 金属(*) － ドロップダウンメニューを使用して、製錬業者情報を入力する該当金属を選択してください。この欄は必須です。</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</si>
  <si>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</si>
  <si>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</si>
  <si>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</si>
  <si>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</si>
  <si>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</si>
  <si>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</si>
  <si>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</si>
  <si>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4. İzabe Tesisi Adı (*) - C Sütununda "İzabe Tesisi Listelenmemiş" öğesini seçtiyseniz, bir izabe tesisi adı girin. Bu alan, C Sütununda bir izabe tesisi adı seçildiğinde otomatik olarak doldurulacaktır. Bu alanın doldurulması zorunludur.</t>
  </si>
  <si>
    <t>4. Nome della fonderia (*) -  Inserire il nome della fonderia se avete selezionato " fonderia non presente" nella colonna C. Questo campo verrà popolato automaticamente quando verrà inserito il nome dell fonderia nella colonna C.  Questo campo è obbligatorio.</t>
  </si>
  <si>
    <t>4. Nombre del fundidor (*)- Proporcione el nombre del fundidor si seleccionaste " Fundidor no listado" en la columna C. Este campo se llenara automáticamente cuando un nombre de fundidor es seleccionado en la columna C. Este campo es obligatorio.</t>
  </si>
  <si>
    <r>
      <t>4.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</si>
  <si>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t>4. 製錬業者名(*)　－　C列で「Smelter Not Listed（製錬業者が表に含まれていない）」を選択した場合、製錬業者名を記入してください。C列で製錬業者名を選択した場合には、この欄は自動入力されます。この欄は必須です。</t>
  </si>
  <si>
    <t>4. 표준 제련소 이름 (*) - 'C'열에 '나열되지 제련소'를 선택한 경우, 제련소 이름을 기입하시오.  'C'열에 제련소 이름을 선택한 경우에는 이필드가 자동으로 채워집니다.  이 필드는 필수입니다.</t>
  </si>
  <si>
    <t>4. Nom de la fonderie (*) - Saisissez le nom de la fonderie si vous avez sélectionné 'fonderie non répertoriée' dans la colonne C. Ce champ est automatiquement renseigné lorsqu'un nom de fonderie est sélectionné dans la colonne C. Ce champ est obligatoire.</t>
  </si>
  <si>
    <t>4. Nome da Fundição (*) - Preencher o nome da fundição se selecionou "Fundição não listada" na coluna C. Este campo irá replicar-se automaticamente quando o nome de uma fundição for selecionado na coluna C. Este campo é obrigatório.</t>
  </si>
  <si>
    <t>4. Schmelzer Name ( * ) - Füllen Sie den Namen des Schmelzers in Spalte C ein, wenn Sie  "Schmelzer nicht aufgelistet" ausgewählt haben.  Dieses Feld wird automatisch ausgefüllt, wenn ein Schmelzer in Spalte C ausgewählt wurde. Dies ist ein Pflichteingabefeld.</t>
  </si>
  <si>
    <r>
      <rPr>
        <sz val="11"/>
        <rFont val="Calibri"/>
        <family val="2"/>
      </rPr>
      <t>5.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</si>
  <si>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</si>
  <si>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</si>
  <si>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</si>
  <si>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</si>
  <si>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</si>
  <si>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</si>
  <si>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</si>
  <si>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</si>
  <si>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 xml:space="preserve">6. 冶炼厂识别 - 依据冶炼厂和精炼厂识别系统每一冶炼厂或精炼厂均有一独一无二的标识。 相信会有一间冶炼厂或一间精炼厂存在多个名称的情况出现。 因此，唯一的冶炼厂标识能将其它名称和别名进行统一。 </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</si>
  <si>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</si>
  <si>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</si>
  <si>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</si>
  <si>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</si>
  <si>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</si>
  <si>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</si>
  <si>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</si>
  <si>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</si>
  <si>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 xml:space="preserve">7. 冶炼厂识别号码 - F列包括所有的冶炼厂识别号码。 如果在C列中选出冶炼厂名称，此栏会自动填入。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</si>
  <si>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</si>
  <si>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</si>
  <si>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</si>
  <si>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</si>
  <si>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</si>
  <si>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</si>
  <si>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</si>
  <si>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</si>
  <si>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製錬業者所在地：番地　－　製錬所の所在する番地を記入してください。この欄は任意記入欄です。</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</si>
  <si>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</si>
  <si>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</si>
  <si>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</si>
  <si>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</si>
  <si>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</si>
  <si>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</si>
  <si>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</si>
  <si>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製錬業者所在地：市　－　製錬所の所在する市を記入してください。この欄は任意記入欄です。</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</si>
  <si>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</si>
  <si>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</si>
  <si>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</si>
  <si>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</si>
  <si>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</si>
  <si>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</si>
  <si>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</si>
  <si>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製錬業者所在地： 州／県／省（該当する場合のみ回答）　－　製錬所の所在する州又は県を記入してください。この欄は任意記入欄です。</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</si>
  <si>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</si>
  <si>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</si>
  <si>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</si>
  <si>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</si>
  <si>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</si>
  <si>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</si>
  <si>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</si>
  <si>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</si>
  <si>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</si>
  <si>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</si>
  <si>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</si>
  <si>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</si>
  <si>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</si>
  <si>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</si>
  <si>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8. 冶炼厂所在街道 - 提供冶炼厂所在街道的名称。此栏自由选择填写。</t>
  </si>
  <si>
    <t>9. 冶炼厂所在城市 - 提供冶炼厂所在城市的名称。此栏自由选择填写。</t>
  </si>
  <si>
    <t>10. 冶炼厂地点： 州/省（如适用）- 提供冶炼厂所在的州/省。此栏自由选择填写。</t>
  </si>
  <si>
    <r>
      <t xml:space="preserve">11.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                                      如果申报人已获得公开联系信息的授权信息， 请将输入与之合作的冶炼厂的联系人姓名。 </t>
    </r>
  </si>
  <si>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この情報を共有する許可を得た場合、御社が連絡をとっている製錬業者担当者名を記入してください。
</t>
  </si>
  <si>
    <t xml:space="preserve">12. 冶炼厂联系电邮地址 - 填入被确认为冶炼厂联系人的电邮地址作为冶炼厂联系信息。 例如： John.Smith@SmelterXXX.com。         请在填写此栏前阅读冶炼厂联系名称指引。 </t>
  </si>
  <si>
    <t>12. 製錬業者連絡先電子メール　－　上記製錬施設連絡先担当者のメールアドレスを記入してください。
例：John.Smith@SmelterXXX.com 　この欄を記入する前に、「製錬業者連絡先担当者名」の説明を確認してください。</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</si>
  <si>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</si>
  <si>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</si>
  <si>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</si>
  <si>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</si>
  <si>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</si>
  <si>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</si>
  <si>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</si>
  <si>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t>
  </si>
  <si>
    <t>Mandatory fields are noted with an asterisk (*).</t>
  </si>
  <si>
    <t>TO BEGIN:</t>
  </si>
  <si>
    <t>1. Smelter Identification Input Column - If you know the Smelter Identification Number, input the number in Column A (columns B, C, D, E, F, G, I, and J will auto-populate).  Column A does not autopopulate.</t>
  </si>
  <si>
    <t xml:space="preserve">
Option A: If you know the Smelter Identification Number, input the number in Column A (columns B, C, D, E, F, G, I, and J will auto-populate).
Option B:  If you have a Metal and Smelter Reference List name combination, complete the following steps: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
NOTE: A combination of Options A and B can be used to complete the Smelter List tab.  Do not alter autopopulated cells.  All errors in the Smelter Reference List should be reported to CFSI by contacting info@conflictfreesmelter.org.
</t>
  </si>
  <si>
    <t>Smelter Identification Number Input Column</t>
  </si>
  <si>
    <t>3. Smelter Reference List(*)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</si>
  <si>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1. 冶炼厂识别输入列－如果您知道冶炼厂识别号码，则在 A 列输入号码（B、C、D、E、F、G、I 和 J 列将自动填入）。A 列不会自动填入。</t>
  </si>
  <si>
    <t>3. 冶炼厂参考清单 (*)－在下拉菜单中选择。清单列出了所有直到发布此申报模板时已知的冶炼厂。如果冶炼厂不在清单中时请选择‘冶炼厂没列出’。出现这种情况时请将该冶炼厂的名称输入 D 列。如果你不知道冶炼厂的名称或地点，请选择‘冶炼厂尚未被识别’。对于这个选项，D 和 E 列将会自动填入‘未知’。此栏必须填写。</t>
  </si>
  <si>
    <t>必填字段以星号 (*) 表示。</t>
  </si>
  <si>
    <t>冶炼厂识别号码输入列</t>
  </si>
  <si>
    <t>首先：</t>
  </si>
  <si>
    <t xml:space="preserve">选项 A：如果您有冶炼厂识别号码，请在 A 列输入号码（B、C、D、E、F、G、I 和 J 列将自动填入）。
选项 B：如果您有金属和冶炼厂参考清单名称组合，则完成以下步骤：
步骤 1. 选择 B 列中的金属
步骤 2. 从 C 列的下拉菜单中选择（错误组合将触发红色）
步骤 3. 如果从下拉菜单中选择“未列出的冶炼厂”，则填写 D 列和 E 列
步骤 4. 在 H 列至 P 列输入所有可用的冶炼厂信息
必填字段以星号 (*) 表示。
注意：选项 A 和 B 的组合可被用于填写冶炼厂清单选项卡。请勿更改自动填写的单元格。应通过联系 info@conflictfreesmelter.org，向 CFSI 报告冶炼厂参考清单中的所有错误。
</t>
  </si>
  <si>
    <t>1. 製錬業者識別番号の入力列－製錬業者識別番号が分かる場合は、その番号をA列に入力してください（B列、C列、D列、E列、F列、G列、I列、およびJ列は自動入力されます）。A列は自動入力されません。</t>
  </si>
  <si>
    <t>3. 製錬業者参照表（*）－ドロップダウンメニューから選択。ここに、テンプレート発行日時点の既知の製錬業者名が列記されています。製錬業者がここにない場合、「Smelter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製錬業者が表に含まれていない）」を選択してください。これを選択すると、製錬業者名をＤ列に記入できるようになります。この欄は必須です。</t>
  </si>
  <si>
    <t>必須項目は（*）で表示。</t>
  </si>
  <si>
    <t>製錬業者識別番号の入力列</t>
  </si>
  <si>
    <r>
      <t>開始するには</t>
    </r>
    <r>
      <rPr>
        <b/>
        <sz val="11"/>
        <rFont val="Verdana"/>
        <family val="2"/>
      </rPr>
      <t xml:space="preserve">
</t>
    </r>
  </si>
  <si>
    <t xml:space="preserve">オプションA：製錬業者識別番号が分かる場合は、その番号をA列に入力してください（B列、C列、D列、E列、F列、G列、I列、およびJ列は自動入力されます）。
オプションB：金属と製錬業者参照表にある名前の組み合わせが分かる場合は、以下のステップを行ってください。
ステップ1. B列で金属を選択
ステップ2. C列のドロップダウンメニューで精錬業者名を選択（組み合わせが間違っている場合は赤色で表示）
ステップ3. ドロップダウンメニューで「Smelter Not Listed（製錬業者が表に含まれていない）」を選択した場合は、D列とE列に記入
ステップ4. 入手可能なすべての精錬業者情報をH列～P列に記入
必須項目は（*）で表示。
注：オプションAとオプションBの組み合わせを使用して、「Smelter List（製錬業者リスト）」のタブを入力できます。自動入力されたセルは変更しないでください。製錬業者参照表のすべてのエラーは、info@conflictfreesmelter.orgを使用してCFSIに報告してください。
</t>
  </si>
  <si>
    <t xml:space="preserve">1. 제련소 ID 입력 열 – 제련소 ID 번호를 아는 경우 A열에 번호를 입력합니다(B, C, D, E, F, G, I 및 J열은 자동으로 입력됨). A열은 자동으로 입력되지 않습니다. </t>
  </si>
  <si>
    <t xml:space="preserve">3. 제련소 참조 목록(Smelter Reference List)(*) – 드롭다운 메뉴에서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필드는 필수 사항입니다. </t>
  </si>
  <si>
    <r>
      <t>필수</t>
    </r>
    <r>
      <rPr>
        <sz val="11"/>
        <rFont val="Calibri"/>
        <family val="2"/>
      </rPr>
      <t xml:space="preserve"> </t>
    </r>
    <r>
      <rPr>
        <sz val="11"/>
        <rFont val="Batang"/>
        <family val="1"/>
      </rPr>
      <t>필드는</t>
    </r>
    <r>
      <rPr>
        <sz val="11"/>
        <rFont val="Calibri"/>
        <family val="2"/>
      </rPr>
      <t xml:space="preserve"> </t>
    </r>
    <r>
      <rPr>
        <sz val="11"/>
        <rFont val="Batang"/>
        <family val="1"/>
      </rPr>
      <t>별표</t>
    </r>
    <r>
      <rPr>
        <sz val="11"/>
        <rFont val="Calibri"/>
        <family val="2"/>
      </rPr>
      <t>(*)</t>
    </r>
    <r>
      <rPr>
        <sz val="11"/>
        <rFont val="Batang"/>
        <family val="1"/>
      </rPr>
      <t>로</t>
    </r>
    <r>
      <rPr>
        <sz val="11"/>
        <rFont val="Calibri"/>
        <family val="2"/>
      </rPr>
      <t xml:space="preserve"> </t>
    </r>
    <r>
      <rPr>
        <sz val="11"/>
        <rFont val="Batang"/>
        <family val="1"/>
      </rPr>
      <t>표시됩니다</t>
    </r>
    <r>
      <rPr>
        <sz val="11"/>
        <rFont val="Calibri"/>
        <family val="2"/>
      </rPr>
      <t xml:space="preserve">. </t>
    </r>
  </si>
  <si>
    <t>제련소 ID 번호 입력 열</t>
  </si>
  <si>
    <t xml:space="preserve">시작하려면:
</t>
  </si>
  <si>
    <t xml:space="preserve">옵션 A: 제련소 ID 번호가 있는 경우 A열에 번호를 입력합니다(B, C, D, E, F, G, I 및 J열은 자동으로 입력됨). 
옵션 B:  금속 및 제련소 참조 목록(Smelter Reference List) 이름 조합이 있는 경우 다음 단계를 완료합니다. 
단계 1. B열에서 금속을 선택합니다. 
단계 2. C열의 드롭다운 메뉴에서 선택합니다(조합이 바르지 않을 경우 적색이 나타남). 
단계 3. 드롭다운 메뉴에서 “제련소명 없음(Smelter Not Listed)”을 선택할 경우, D 및 E열을 작성합니다. 
단계 4. H ~ P열에 사용 가능한 모든 제련소 정보를 입력합니다. 
필수 필드는 별표(*)로 표시됩니다. 
참고: 옵션 A 및 B의 조합은 제련소 목록(Smelter List) 탭을 작성하는 데 사용할 수 있습니다. 자동으로 입력된 셀을 변경하지 마십시오. 제련소 참조 목록(Smelter Reference List)의 모든 오류는 info@conflictfreesmelter.org로 연락하여 CFSI에 보고해야 합니다. 
</t>
  </si>
  <si>
    <t>1. Colonne d’entrée de l’identification de la fonderie. Si vous connaissez le numéro d’identification de la fonderie, saisissez-le dans la colonne A (les colonnes B, C, D, E, F, G, I et J se rempliront automatiquement). La colonne A ne se remplit pas automatiquement.</t>
  </si>
  <si>
    <t>3. Liste de référence des fonderies (*) - Sélectionnez dans la liste déroulante.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</si>
  <si>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Les champs obligatoires sont indiqués par un astérisque (*).</t>
  </si>
  <si>
    <t>Colonne de saisie du numéro d’identification de la fonderie</t>
  </si>
  <si>
    <t>POUR COMMENCER :</t>
  </si>
  <si>
    <t xml:space="preserve">Option A : Si vous connaissez le numéro d’identification de la fonderie, saisissez-le dans la colonne A (les colonnes B, C, D, E, F, G, I et J se rempliront automatiquement).
Option B : Si vous connaissez une combinaison métal et fonderie figurant dans la liste de référence des fonderies, effectuez les étapes suivantes :
Étape 1. Sélectionnez le métal dans la colonne B 
Étape 2. Sélectionnez dans la liste déroulante de la colonne C (une mauvaise combinaison déclenche la couleur ROUGE)
Étape 3. Si la sélection de la liste déroulante est « La fonderie ne figure pas dans la liste », remplissez les colonnes D et E
Étape 4. Saisissez toutes les informations disponibles sur la fonderie dans les colonnes H à P
Les champs obligatoires sont indiqués par un astérisque (*).
REMARQUE : Une combinaison des options A et B peut être utilisée pour remplir l’onglet Liste des fonderies. Ne modifiez pas les cellules remplies automatiquement. Toutes les erreurs figurant dans la liste de référence des fonderies doivent être signalées à la CFSI en contactant info@conflictfreesmelter.org.
</t>
  </si>
  <si>
    <t>1. Coluna de entrada de identificação de fundição - se souber o número de identificação de fundição, coloque-o na coluna A (as colunas B, C, D, E, F, G, I e J são de preenchimento automático).  A coluna A não preenche automaticamente.</t>
  </si>
  <si>
    <t>3. Lista de referência de fundições(*) - selecione na lista suspensa.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</si>
  <si>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Campos obrigatórios estão marcados com um asterisco (*).</t>
  </si>
  <si>
    <t>Coluna de entrada do número de identificação da fundição</t>
  </si>
  <si>
    <t>PARA INICIAR:</t>
  </si>
  <si>
    <t xml:space="preserve">Opção A: Se tiver um número de identificação de fundição, coloque-o na coluna A (as colunas B, C, D, E, F, G, I e J são de preenchimento automático).
Opção B:  Se tiver uma combinação de nomes da Lista de referência de fundições e Metal, execute as seguintes etapas:
Etapa 1. Selecione Metal na coluna B
Etapa 2. Selecione da lista suspensa na coluna C (a combinação errada acionará a cor VERMELHA)
Etapa 3. Se a seleção da lista suspensa for "Fundição não listada", preencha as colunas D e E
Etapa 4. Digite todas as informações disponíveis da fundição nas colunas H até P
Campos obrigatórios estão marcados com um asterisco (*).
OBSERVAÇÃO: É possível usar uma combinação das Opções A e B para preencher a guia Lista de fundições.  Não altere as células de preenchimento automático.  Todos os erros na Lista de referência de fundições devem ser relatados à CFSI pelo e-mail info@conflictfreesmelter.org."
</t>
  </si>
  <si>
    <t>1. Eingabespalte Schmelzofenidentifizierung – Wenn Sie die Schmelzofenidentifizierungsnummer kennen, geben Sie die Nummer in Spalte A ein (Spalten B, C, D, E, F, G, I und J füllen sich automatisch aus).  Spalte A füllt sich nicht automatisch aus.</t>
  </si>
  <si>
    <t>3. Schmelzöfen-Referenzliste(*) – Aus dem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</si>
  <si>
    <t>Pflichtfelder sind mit einem Sternchen (*) gekennzeichnet.</t>
  </si>
  <si>
    <t xml:space="preserve">Eingabespalte Schmelzofenidentifizierungsnummer </t>
  </si>
  <si>
    <t>UM ZU BEGINNEN:</t>
  </si>
  <si>
    <t xml:space="preserve">Option A: Wenn Sie eine Schmelzofenidentifizierungsnummer haben, geben Sie die Nummer in Spalte A ein (Spalten B, C, D, E, F, G, I und J füllen sich automatisch aus).
Option B:  Falls Sie eine Metall- und Schmelzöfen-Referenzlistennamenskombination haben, führen Sie die folgenden Schritte aus:
Schritt 1. Wählen Sie das Metall in Spalte B aus.
Schritt 2. Wählen Sie aus dem Dropdown-Menü in Spalte C (die falsche Kombination löst die Farbe ROT aus)
Schritt 3. Wenn die Auswahl aus dem Dropdown-Menü „Schmelzofen nicht aufgeführt“ lautet, vervollständigen Sie Spalten D und E
Schritt 4. Geben Sie alle verfügbaren Schmelzofeninformationen in die Spalten H bis P ein
Pflichtfelder sind mit einem Sternchen (*) gekennzeichnet.
HINWEIS: Eine Kombination der Optionen A und B kann zur Vervollständigung des Schmelzöfenreiters verwendet werden.  Ändern Sie keine automatisch ausgefüllten Felder.  Alle Fehler in der Schmelzöfen-Referenzliste sollten über info@conflictfreesmelter.org an CSFI gemeldet werden.“
</t>
  </si>
  <si>
    <t>1. Columna para ingresar la identificación del fundidor: si conoce el número de identificación del fundidor, ingréselo en la columna A (las columnas B, C, D, E, F, G, I y J se completarán automáticamente). La columna A no se completa en forma automática.</t>
  </si>
  <si>
    <t xml:space="preserve">3. Lista de referencia del fundidor(*): seleccione una opción de la lista desplegable. Esta es la lista de fundidores conocidos a la fecha de publicación de la plantilla. Si el fundidor no aparece, seleccione la opción “Smelter Not Listed” (Fundidor no registrado). Esto le permitirá ingresar el nombre del fundidor en la columna D. Si no conoce el nombre ni la ubicación del fundidor, seleccione la opción "Smelter Not Yet Identified" (Fundidor aún no identificado). Si selecciona esta opción, las columnas D y E se completarán con la palabra “unknown” (desconocido). Este campo es obligatorio.
 </t>
  </si>
  <si>
    <t>Los campos obligatorios están marcados con un asterisco (*).</t>
  </si>
  <si>
    <t>Columna para ingresar el número de identificación del fundidor</t>
  </si>
  <si>
    <t>PARA COMENZAR:</t>
  </si>
  <si>
    <t xml:space="preserve">Opción A: Si conoce el número de identificación del fundidor, ingréselo en la columna A (las columnas B, C, D, E, F, G, I y J se completarán automáticamente).
Opción B: Si tiene un nombre combinado de la Lista de referencia de fundidores y metales, complete los siguientes pasos:
Paso 1. Seleccione Metal en la columna B.
Paso 2. Seleccione una opción de la lista desplegable de la columna C (una combinación errónea activará el color ROJO).
Paso 3. Si la selección de la lista desplegable es “Smelter Not Listed” (Fundidor no registrado), complete las columnas D y E.
Paso 4. Ingrese toda la información disponible sobre el fundidor en las columnas H a P.
Los campos obligatorios están marcados con un asterisco (*).
NOTA: Se puede usar una combinación de las Opciones A y B para completar la pestaña Smelter List (Lista de fudidores). No haga cambios en las celdas que se llenen automáticamente. Todos los errores de la Lista de referencia de fundidores deben informarse a la Iniciativa de Suministro Sin Conflicto (Conflict-Free Sourcing Initiative, CFSI) enviando un mensaje a info@conflictfreesmelter.org.
</t>
  </si>
  <si>
    <t>1. Colonna di immissione identificativo fonderia - Se si conosce il numero identificativo della fonderia, immetterlo nella colonna A (le colonne B, C, D, E, F, G, I e J verranno popolate automaticamente). La colonna A non viene popolata automaticamente.</t>
  </si>
  <si>
    <t>3. Lista dei riferimenti della fonderia(*)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</si>
  <si>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 campi obbligatori sono contrassegnati con un asterisco (*).</t>
  </si>
  <si>
    <t>Colonna di immissione numero di identificazione fonderia</t>
  </si>
  <si>
    <r>
      <t>PER INIZIARE:</t>
    </r>
    <r>
      <rPr>
        <b/>
        <sz val="11"/>
        <rFont val="Verdana"/>
        <family val="2"/>
      </rPr>
      <t xml:space="preserve">
</t>
    </r>
  </si>
  <si>
    <t xml:space="preserve">Opzione A: Se si dispone del numero di identificazione della fonderia, immetterlo nella colonna A (le colonne B, C, D, E, F, G, I e J verranno popolate automaticamente).
Opzione B:  Se si dispone della combinazione di nomi metallo e lista dei riferimenti della fonderia, procedere come indicato di seguito:
Fase 1. Selezionare il metallo nella colonna B
Fase 2. Selezionare dal menu a tendina nella colonna C (una combinazione errata verrà visualizzata con il colore ROSSO)
Fase 3. Se l’opzione selezionata nel menu a tendina è “Fonderia non presente” completare le colonne D ed E
Fase 4. Inserire tutti i dati disponibili sulla fonderia nelle colonne da H a P
I campi obbligatori sono contrassegnati con un asterisco (*).
NOTA: Per completare la scheda della lista delle fonderie è possibile utilizzare una combinazione delle Opzioni A e B. Non modificare le celle popolate automaticamente. Tutti gli errori presenti nella lista dei riferimenti della fonderia vanno segnalati al CFSI tramite l’indirizzo e-mail info@conflictfreesmelter.org”.
</t>
  </si>
  <si>
    <t>1. İzabe Tesisi Tanımlaması Giriş Sütunu - İzabe Tesisi Tanımlama Numarasını biliyorsanız A sütununa girin (B, C, D, E, F, G, I ve J sütunları otomatik olarak doldurulur).  A sütunu otomatik olarak doldurulmaz.</t>
  </si>
  <si>
    <t>3. İzabe Tesisi Referans Listesi(*) - Açılır menüden seçim yapın.  Bu, şablonun yayınlanma tarihi itibariyla bilinen izabe tesisi listesidir.  İzabe tesisi listelenmemişse, "İzabe Tesisi Listelenmemiş" ögesini seçin.  Bu, izabe tesisinin adını D sütununa girmeniz, sağlayacaktır. İzabe tesisinin adını veya konumunu bilmiyorsanız, "İzabe Tesisi Henüz Tanımlanmamış" ögesini seçin.  Bu seçenek için, D ve E sütunları otomatik olarak "bilinmiyor" şeklinde doldurulur.  Bu alanın doldurulması zorunludur.</t>
  </si>
  <si>
    <t>Doldurulması zorunlu alanlar yıldız imi (*) ile gösterilmiştir.</t>
  </si>
  <si>
    <t>İzabe Tesisi Tanımlama Numarası Giriş Sütunu</t>
  </si>
  <si>
    <t xml:space="preserve">BAŞLAMAK İÇİN:
</t>
  </si>
  <si>
    <t xml:space="preserve">A Seçeneği: İzabe Tesisi Tanımlama Numarasını biliyorsanız, A sütununa (B, C, D, E, F, G, I ve J sütunları otomatik olarak doldurulur) girin.
B Seçeneği:  Metal ve İzabe Tesisi Referans Listesi ad kombinasyonuna sahipseniz, aşağıdaki adımları tamamlayın:
1. Adım: B sütununda Metal ögesini seçin
2. Adım: C sütunundaki açılır menüden seçim yapın (yanlış kombinasyonlar KIRMIZI renkle gösterilecektir)
3. Adım: Açılır menüde "İzabe Tesisi Listelenmemiş" seçimi yapılmışsa, D ve E sütunlarını doldurun
4. Adım: Elinizdeki tüm izabe tesisi bilgilerini H ila P sütunlarına girin
Doldurulması zorunlu alanlar yıldız imi (*) ile gösterilmiştir.
NOT: İzabe Tesisi Listesi sekmesini doldurmak için, A ve B seçeneklerinin bir kombinasyonu kullanılabilir.  Otomatik doldurulan hücreleri değiştirmeyin.  İzabe Tesisi Referans Listesindeki tüm hatalar, info@conflictfreesmelter.org adresi yoluyla iletişim kurularak CFSI'ya bildirilmelidir.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</si>
  <si>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</si>
  <si>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</si>
  <si>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CONGO (DEMOCRATIC REPUBLIC OF THE)</t>
  </si>
  <si>
    <t>BOLIVIA (PLURINATIONAL STATE OF)</t>
  </si>
  <si>
    <t>KOREA (DEMOCRATIC PEOPLE'S REPUBLIC OF)</t>
  </si>
  <si>
    <t>KOREA (REPUBLIC OF)</t>
  </si>
  <si>
    <t>MACEDONIA (THE FORMER YUGOSLAV REPUBLIC OF)</t>
  </si>
  <si>
    <t>TAIWAN, PROVINCE OF CHINA</t>
  </si>
  <si>
    <t>UNITED KINGDOM OF GREAT BRITAIN AND NORTHERN IRELAND</t>
  </si>
  <si>
    <t>UNITED STATES OF AMERICA</t>
  </si>
  <si>
    <t xml:space="preserve">3. This is a declaration that any portion of the 3TGs contained in a product or multiple products originates from the DRC or an adjoining country (covered countries). 
The answer to this query shall be "yes", "no", or "unknown". Substantiate a "Yes" answer in the comments section.
This question is mandatory for a specific metal if the response to Question 1 or 2 is “Yes” for that metal. </t>
  </si>
  <si>
    <t>3. 这是要申报存在于一种产品或多种产品中的 3TG 的任何部分的源产地是刚果民主共和国及其毗邻受管制国家。
以“是”、“否”或“不知道”来答复此问题。请在注释部分提供证明
如果对问题 1 或问题 2 就特定金属的答复为“是”，必须为该金属回答此问题。</t>
  </si>
  <si>
    <t>3.  これは、1つ又は複数の製品に含まれている3TGの一部がコンゴ民主共和国又は隣接国（対象国）から調達されていることの申告です。
「Yes（はい）」「No（いいえ）」又は「Unknown（不明）」で回答してください。「Yes（はい）」と回答した場合は、コメント欄に具体的に記入してください
この質問は、質問1又は2の回答が「Yes（はい）」の金属については必須となります。</t>
  </si>
  <si>
    <t>3. 이것은 한 제품이나 여러 제품들에 포함된 3TG의 일정 부분이 콩고공화국이나 그 인접국가(적용 국가들)로부터 유래된 것인지에 대한 신고입니다. 
이 질문에 대한 답은 "Yes", "No", 또는 "Unknown"이 되어야 합니다. "Yes"라고 대답한 경우 비고란에 구체적으로 기재하십시오
이 질문은 만일 특정 광물에 대한 질문1 또는 질문2의 답이 그 광물에 대해 "Yes"라면 필수 사항입니다.</t>
  </si>
  <si>
    <t>3. Il s’agit d’une déclaration selon laquelle une partie des 3TG contenue dans un ou plusieurs produits provient de la RDC ou d’un pays limitrophe (les pays couverts). 
La réponse à cette question doit être « oui », « non » ou « inconnu ». .Justifiez votre réponse affirmative dans la section des commentaires
Cette question est obligatoire pour un métal donné si la réponse à la question 1 ou 2 est « oui » pour ce métal.</t>
  </si>
  <si>
    <t>3. Esta é uma declaração de que qualquer parte dos minerais de conflito contidos em um produto ou em vários produtos tem origem na RDC ou em países vizinhos (países abrangidos). 
A resposta a esta pergunta deverá ser “Sim”, “Não” ou “Desconhecido”. Fundamente uma resposta “Sim” na área de comentários.
Esta pergunta é obrigatória para um metal específico se a resposta às perguntas 1 ou 2 for “Sim” para esse metal.</t>
  </si>
  <si>
    <t>3. Dies ist eine Erklärung, dass jedwede Menge der in einem Produkt oder in mehreren Produkten enthaltenen 3TG-Mineralien aus der Demokratischen Republik Kongo oder benachbarten Ländern stammt (umfasste Länder). 
Die Antwort auf diese Frage muss „Ja“ oder „Nein“ oder „Unbekannt“ lauten. Begründen Sie eine „Ja“-Antwort im Kommentarabschnitt
Diese Frage muss für ein bestimmtes Metall beantwortet werden, wenn die Antwort auf Frage 1 oder 2 „Ja“ für dieses Metall lautet.</t>
  </si>
  <si>
    <t xml:space="preserve">3.  Ésta es una declaración que menciona que cualquier parte de los 3TG contenidos en un producto o múltiples productos se originan del DRC o de un país contiguo (países cubiertos).  
La respuesta a esta pregunta debe ser "sí", "no" o "desconocido".  Confirme una respuesta afirmativa en la sección de comentarios
Esta pregunta es obligatoria para un metal específico si la respuesta a la Pregunta 1 o 2 es "sí" para ese metal. </t>
  </si>
  <si>
    <t>3. Questa è una dichiarazione che qualsiasi parte dei metalli di conflitto contenuta in uno o più prodotti deriva dalla DRC o paesi limitrofi (paesi interessati). 
La risposta a questa domanda può essere "sì", "no" o "sconosciuto". Motivare le risposte affermative (“Sì”) nella sezione dei commenti
Questa domanda è obbligatoria per un metallo specifico se la risposta alla domanda 1 o 2 è "Sì" relativamente a quel metallo.</t>
  </si>
  <si>
    <t>3. Bu, bir ya da birden fazla ürün içinde bulunan 3TG'lerin herhangi bir kısmının DKC veya komşu ülkelerinden (kapsam dahilindeki ülkelerden) geldiğine dair bir beyandır.  
Bu soruya "evet", "hayır" ya da "bilinmiyor" şeklinde yanıt verilmelidir. Verilen bir “Evet” yanıtının gerekçelerini Yorumlar bölümünde belirtin.
1 veya 2. soruya belirli bir metal için “Evet” yanıtı verilmişse, bu metal için bu soruya yanıt verilmesi zorunludur.</t>
  </si>
  <si>
    <t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Reference List.
Column C is the list of the official standard smelter names, understood to be the legal names of the eligible smelters. The majority of smelters will have the same entry for both columns, however if the common name varies from the standard name, the variation is noted in Column B. </t>
  </si>
  <si>
    <t>Abington Reldan Metals, LLC</t>
  </si>
  <si>
    <t>CID002708</t>
  </si>
  <si>
    <t>Fairless Hills</t>
  </si>
  <si>
    <t>PA</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</si>
  <si>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</si>
  <si>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</si>
  <si>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</si>
  <si>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</si>
  <si>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</si>
  <si>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</si>
  <si>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</si>
  <si>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</si>
  <si>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</si>
  <si>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</si>
  <si>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</si>
  <si>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</si>
  <si>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Zhuzhou Cemented Carbide Group Co., Ltd.</t>
  </si>
  <si>
    <t>Pemali</t>
  </si>
  <si>
    <t>Gejiu</t>
  </si>
  <si>
    <t>PT Lautan Harmonis Sejahtera</t>
  </si>
  <si>
    <t>CID002870</t>
  </si>
  <si>
    <t>PT Menara Cipta Mulia</t>
  </si>
  <si>
    <t>CID002835</t>
  </si>
  <si>
    <t>Unecha Refractory metals plant</t>
  </si>
  <si>
    <t>CID002724</t>
  </si>
  <si>
    <t>Provide a valid email for contact in Declaration tab cell D16</t>
  </si>
  <si>
    <t>Andorra la Vella</t>
  </si>
  <si>
    <t>Gold Coast</t>
  </si>
  <si>
    <t>Queensland</t>
  </si>
  <si>
    <t>Selatan</t>
  </si>
  <si>
    <t>Timur</t>
  </si>
  <si>
    <t>Unecha Town</t>
  </si>
  <si>
    <t>Bryansk Region</t>
  </si>
  <si>
    <t>CID002918</t>
  </si>
  <si>
    <t>SungEel HiTech</t>
  </si>
  <si>
    <t>Gunsan</t>
  </si>
  <si>
    <t>North Jeolla Province</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</si>
  <si>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</si>
  <si>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</si>
  <si>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Revision 4.20
November 30, 2016</t>
  </si>
  <si>
    <t>Revision 4.20 November 30, 2016</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</si>
  <si>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</si>
  <si>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t>
  </si>
  <si>
    <t xml:space="preserve">Select your company's Declaration Scope.  The options for scope are:
A.  Company
B.  Product (or List of Products)
C.  User-Defined
</t>
  </si>
  <si>
    <t>No, but greater than 75%</t>
  </si>
  <si>
    <t>否，但超过75%</t>
  </si>
  <si>
    <r>
      <t xml:space="preserve">1. </t>
    </r>
    <r>
      <rPr>
        <sz val="11"/>
        <color indexed="8"/>
        <rFont val="SimSun-ExtB"/>
        <family val="3"/>
      </rPr>
      <t>插入贵公司的法定名称。请不要使用缩写。在此字段中，您可以选择添加其他商业名称、营业名称等。</t>
    </r>
  </si>
  <si>
    <r>
      <t>欲了解运作的或合规的标准冶炼厂名称的最新及最准确目录，请参考</t>
    </r>
    <r>
      <rPr>
        <sz val="11"/>
        <color indexed="8"/>
        <rFont val="Calibri"/>
        <family val="2"/>
      </rPr>
      <t xml:space="preserve"> CFSI </t>
    </r>
    <r>
      <rPr>
        <sz val="11"/>
        <color indexed="8"/>
        <rFont val="SimSun-ExtB"/>
        <family val="3"/>
      </rPr>
      <t>网站</t>
    </r>
    <r>
      <rPr>
        <sz val="11"/>
        <color indexed="8"/>
        <rFont val="Calibri"/>
        <family val="2"/>
      </rPr>
      <t xml:space="preserve"> www.conflictfreesourcing.org </t>
    </r>
    <r>
      <rPr>
        <sz val="11"/>
        <color indexed="8"/>
        <rFont val="SimSun-ExtB"/>
        <family val="3"/>
      </rPr>
      <t>。</t>
    </r>
  </si>
  <si>
    <r>
      <t>在</t>
    </r>
    <r>
      <rPr>
        <sz val="11"/>
        <color indexed="8"/>
        <rFont val="Calibri"/>
        <family val="2"/>
      </rPr>
      <t xml:space="preserve"> B </t>
    </r>
    <r>
      <rPr>
        <sz val="11"/>
        <color indexed="8"/>
        <rFont val="SimSun-ExtB"/>
        <family val="3"/>
      </rPr>
      <t>列中包括的名称表示供应链对于特定冶炼厂通常认可和报告使用的公司名称。这些名称可能包括公司曾用名、备用名称、简称、或其他变体。虽然这些名称可能不是</t>
    </r>
    <r>
      <rPr>
        <sz val="11"/>
        <color indexed="8"/>
        <rFont val="Calibri"/>
        <family val="2"/>
      </rPr>
      <t xml:space="preserve"> CFSI </t>
    </r>
    <r>
      <rPr>
        <sz val="11"/>
        <color indexed="8"/>
        <rFont val="SimSun-ExtB"/>
        <family val="3"/>
      </rPr>
      <t>标准冶炼厂名称，但参考名称有助于识别冶炼厂，该冶炼厂列在冶炼厂参考列表中的</t>
    </r>
    <r>
      <rPr>
        <sz val="11"/>
        <color indexed="8"/>
        <rFont val="Calibri"/>
        <family val="2"/>
      </rPr>
      <t xml:space="preserve"> C </t>
    </r>
    <r>
      <rPr>
        <sz val="11"/>
        <color indexed="8"/>
        <rFont val="SimSun-ExtB"/>
        <family val="3"/>
      </rPr>
      <t>列下。</t>
    </r>
  </si>
  <si>
    <r>
      <t xml:space="preserve">C </t>
    </r>
    <r>
      <rPr>
        <sz val="11"/>
        <color indexed="8"/>
        <rFont val="SimSun-ExtB"/>
        <family val="3"/>
      </rPr>
      <t>列是官方标准冶炼厂名称的列表，被做为合格冶炼厂的法定名称。大多数冶炼厂的这两列具有相同的条目，然而，如果常用名称与标准名称不同，则在</t>
    </r>
    <r>
      <rPr>
        <sz val="11"/>
        <color indexed="8"/>
        <rFont val="Calibri"/>
        <family val="2"/>
      </rPr>
      <t xml:space="preserve"> B </t>
    </r>
    <r>
      <rPr>
        <sz val="11"/>
        <color indexed="8"/>
        <rFont val="SimSun-ExtB"/>
        <family val="3"/>
      </rPr>
      <t>列中注明这种变化。</t>
    </r>
  </si>
  <si>
    <t>以下目录是截止此模板发布时 CFSI 的最新冶炼厂名称/别名信息。 此目录实时更新，可于下述 CFSI 网站查询最新版本 http://www.conflictfreesourcing.org/conflict-free-smelter-program/exports/cmrt-export/。 在此处列出的冶炼厂并不证明该冶炼厂当前在无冲突冶炼厂计划中是运作的或合规的。
欲了解运作的或合规的标准冶炼厂名称的最新及最准确目录，请参考 CFSI 网站 www.conflictfreesourcing.org 。
在 B 列中包括的名称表示供应链对于特定冶炼厂通常认可和报告使用的公司名称。这些名称可能包括公司曾用名、备用名称、简称、或其他变体。虽然这些名称可能不是 CFSI 标准冶炼厂名称，但参考名称有助于识别冶炼厂，该冶炼厂列在冶炼厂参考列表中的 C 列下。
C 列是官方标准冶炼厂名称的列表，被做为合格冶炼厂的法定名称。大多数冶炼厂的这两列具有相同的条目，然而，如果常用名称与标准名称不同，则在 B 列中注明这种变化。</t>
  </si>
  <si>
    <t>在“申报”选项卡 D16 单元格中提供联系人有效的电子邮件地址</t>
  </si>
  <si>
    <t>在“申报”选项卡 D20 单元格中提供授权公司代表的有效的电子邮件地址</t>
  </si>
  <si>
    <t xml:space="preserve">选择贵公司的申报范围。范围的选项为：
A.公司
B.产品（或产品列表）
C.用户自定义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</si>
  <si>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</si>
  <si>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</si>
  <si>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</si>
  <si>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以下の製錬業者リストは、このテンプレート発表時点で最新のCFSIの製錬業者／別名の情報を表すものです。このリストは頻繁に更新されます。最新版については、CFSIウェブサイト（http://www.conflictfreesourcing.org/conflict-free-smelter-program/exports/cmrt-export/）にてご確認ください。このリストに製錬業者の名前が掲載されている場合であっても、それはコンフリクトフリー製錬業者プログラム内で現在アクティブまたは適合しているという保証ではありません。
最新版かつ正確な標準製錬業者（アクティブまたは適合）リストについては、CFSIウェブサイト（http://www.conflictfreesourcing.org）を参照してください。
B列に記載されている名前は、特定の製錬業者のサプライチェーンによって一般的に認められており、また報告されている社名です。これらの名前には、旧社名、別名、省略形その他の変化形が含まれている可能性があります。名前がCFSIの標準製錬業者名ではない場合でも、参照名は、製錬業者参照表のC列に記載されている製錬業者を特定する上で役に立ちます。
C列は、資格を持つ製錬業者の正式名称と理解されている、正式な標準製錬業者名のリストです。大多数の製錬業者の名前は両列で同じですが、一般名称が正式名と違う場合は、Bにその違いが注記されています。</t>
  </si>
  <si>
    <t>1. 御社の正式名称を記入してください。省略形は使わないでください。このフィールドでは、他の社名やDBAなどを追加することができます。</t>
  </si>
  <si>
    <t xml:space="preserve">1. 귀사의 법적인 공식 명칭을 기입하십시오. 축약된 명칭을 기입하면 안됩니다. 이 필드에는 다른 상업명, DBA 등을 추가할 수 있는 옵션이 있습니다. </t>
  </si>
  <si>
    <t xml:space="preserve">다음 목록은 이 템플릿의 발표 시점을 기준으로 한 CFSI의 최신 제련소 명칭/별칭 정보를 나타냅니다. 이 목록은 자주 업데이트되며, 최신 버전은 CFSI 웹사이트(http://www.conflictfreesourcing.org/conflict-free-smelter-program/exports/cmrt-export/)에서 참조할 수 있습니다. 이 목록에 제련소가 포함되어 있다고 해서 해당 제련소가 현재 분쟁으로부터 자유로운 제련소 프로그램 내에서 활동 중이거나 그 범위를 준수한다고 보장하는 것은 아닙니다.
프로그램 내에서 활동 중이거나 그 범위를 준수하고 있는 가장 최근의 정확한 표준 제련소 명칭 목록은 CFSI 웹사이트인 www.conflictfreesourcing.org를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명칭이 CFSI 제련소 표준 명칭이 아닐 수 있지만, 참조 명칭은 제련소 참조 목록의 C열 아래 나열된 제련소를 식별하는 데 유용합니다.
C열은 공식적인 제련소 표준 명칭의 목록이며, 자격을 갖춘 제련소의 법적 명칭이 되기도 합니다. 대다수 제련소들의 명칭이 두 열 모두 동일하지만, 일반 명칭이 표준 명칭과 다를 경우, 다른 명칭이 B열에 표기됩니다.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</si>
  <si>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</si>
  <si>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</si>
  <si>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</si>
  <si>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</si>
  <si>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</si>
  <si>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</si>
  <si>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 xml:space="preserve">La liste suivante représente les dernières informations de la CFSI relatives au nom/pseudonyme de la fonderie au moment de la publication de ce modèle. Cette liste est mise à jour régulièrement et la version la plus à jour peut être consultée sur le site Web de la CFSI à l’adresse http://www.conflictfreesourcing.org/conflict-free-smelter-program/exports/cmrt-export/. La présence d’une fonderie ici ne représente PAS une garantie qu’elle soit actuellement active ou conforme au programme des fonderies hors conflits.
Veuillez consulter le site Web de la CFSI à l’adresse www.conflictfreesourcing.org pour obtenir une liste récente et précise des noms de fonderie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peut-être pas les noms de fonderie standard de la CFSI, les noms de référence sont utiles pour identifier la fonderie, qui est répertoriée dans la colonne C dans la liste de référence des fonderies.
La colonne C correspond à la liste des noms officiels de fonderie standard, qui sont les dénominations sociales des fonderies admissibles. La plupart des fonderies auront la même entrée pour les deux colonnes ; toutefois, si le nom courant est différent du nom standard, la variation est indiquée dans la colonne B. </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</si>
  <si>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</si>
  <si>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</si>
  <si>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 xml:space="preserve">A lista a seguir representa as informações mais recentes da CFSI sobre nomes/pseudônimos de fundições no momento da divulgação deste modelo. Essa lista é atualizada frequentemente e a versão mais atual está disponível no site da CFSI, http://www.conflictfreesourcing.org/conflict-free-smelter-program/exports/cmrt-export/. A presença de uma fundição aqui NÃO é uma garantia de que ela esteja atualmente Ativa ou Em conformidade com o Programa de fundições sem conflito (CFSP, Conflict-Free Smelter Program).
Consulte o site da CFSI, www.conflictfreesourcing.org, para obter a versão mais recente e exata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ser o nome da fundição padrão na CFSI, os nomes de referência são úteis para identificar a fundição, listada na coluna C na Lista de referência de fundições.
A coluna C é a lista dos nomes padrão oficiais de fundições, considerados como razões sociais das fundições elegíveis. A maioria das fundições terá a mesma entrada em ambas as colunas; no entanto, se o nome comum variar em relação ao nome padrão, a variação será indicada na coluna B. 
</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</si>
  <si>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</si>
  <si>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</si>
  <si>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</si>
  <si>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</si>
  <si>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</si>
  <si>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</si>
  <si>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 xml:space="preserve">Die folgende Liste beruht auf den neuesten Informationen der CFSI über Schmelzofennamen/Aliasnamen zum Zeitpunkt der Veröffentlichung dieser Vorlage. Diese Liste wird regelmäßig aktualisiert. Die aktuellste Version ist auf der CFSI-Website zu finden unter http://www.conflictfreesourcing.org/conflict-free-smelter-program/exports/cmrt-export/. Die Aufführung eines Schmelzofens in dieser Liste ist KEINE Garantie, dass dieser gegenwärtig aktiv ist oder das Programm für Konfliktfreie Schmelzöfen (Conflict-Free Smelter Program) einhält.
Auf der CFSI-Website können Sie unter www.conflictfreesourcing.org die aktuellste und genaueste Liste der Standardnamen aktiver bzw. konformer Schmelzöfen abrufen. 
Namen in Spalte B stellen allgemein bekannte Firmennamen dar, die der Lieferkette für den jeweiligen Schmelzofen gemeldet werden. Zu diesen Namen können frühere Firmennamen, alternative Namen, Abkürzungen oder sonstige Varianten zählen. Zwar sind diese Namen nicht unbedingt die CFSI-Standardschmelzofennamen, doch können anhand dieser Verweise Schmelzöfen identifiziert werden, die in der Spalte C der Schmelzofenreferenzliste angeführt werden.
Spalte C umfasst die offiziellen Standardschmelzofennamen, die als die rechtmäßigen Firmennamen der infrage kommenden Schmelzöfen gelten. Die Mehrheit von Schmelzöfen hat dieselbe Eintragung für beide Spalten. Wenn jedoch der übliche Name vom Standardnamen abweicht, wird die Abweichung in Spalte B vermerkt. 
</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</si>
  <si>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</si>
  <si>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</si>
  <si>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 xml:space="preserve">La siguiente lista representa la información de CFSI (Iniciativa de Suministro Sin Conflicto) actualizada del nombre/alias del último fundidor a partir de la publicación de la plantilla. Esta lista se actualiza con frecuencia, y la versión más reciente se encuentra en el sitio de CFSI http://www.conflictfreesourcing.org/conflict-free-smelter-program/exports/cmrt-export/. La presencia de un fundidor aquí NO es garantía de que actualmente esté activo o en cumplimiento con en el Programa de Fundidoras Sin Conflicto.
Refiérase al sitio web de CFSI: www.conflictfreesourcing.org para obtener una lista de nombres de fundidores estándar que están activos o en cumplimiento. 
Los nombres incluidos en la columna B representan nombres de compañías que son comúnmente reconocidas y reportadas por la cadena de suministros de un fundidor en particular. Dichos nombres pueden incluir los nombres anteriores de compañías, nombres alternos, abreviaturas u otras variaciones. Aun cuando los nombres pueden no ser los nombres CFSI estándar del fundidor, los nombres de referencia son útiles para identificar al fundidor, el cual está en la columna C en la Lista de Referencia de Fundidores.
La columna C es la lista de los nombres oficiales estándar de los fundidores, entiéndase como los nombres legales de los fundidores aplicables. La mayoría de los fundidores tendrán la misma entrada en ambas columnas; sin embargo, si el nombre común varía del nombre estándar, la variación se observa en la Columna B. 
</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</si>
  <si>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</si>
  <si>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</si>
  <si>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</si>
  <si>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</si>
  <si>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</si>
  <si>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</si>
  <si>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La seguente lista riporta i dati più recenti relativamente a nomi/alias di CFSI a partire dalla pubblicazione di questo modello. La lista viene aggiornata spesso e la versione più aggiornata è disponibile sul sito web di CFSI //www.conflictfreesourcing.org/conflict-free-smelter-program/exports/cmrt-export/. La presenza di una fonderia NON è garanzia del fatto che essa sia attualmente attiva o conforme ai sensi del Conflict-Free Smelter Program.
Prego fare riferimento al sito CFSI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CFSI, i nomi di riferimento sono utili all’identificazione della fonderia, che è elencata nella colonna C della Lista di riferimento fonderie.
La Colonna C è la lista dei nomi ufficiali delle fonderie standard, intesi come i nomi legali delle fonderie idonee. La maggioranza delle fonderie avrà la stessa immissione per entrambe le colonne, tuttavia se il nome comune varia rispetto al nome standard, la variazione è annotata nella colonna B.</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</si>
  <si>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</si>
  <si>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</si>
  <si>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 xml:space="preserve">Aşağıdaki liste, CFSI’nin şablonun yayın tarihi itibariyle en güncel izabe tesisi adı/rumuz bilgilerini içermektedir. Bu liste sık sık güncellenmektedir ve listenin en güncel sürümü http://www.conflictfreesourcing.org/conflict-free-smelter-program/exports/cmrt-export/ adresindeki CFSI web sitesinden bulunabilir.  Bir izabe tesisinin bu listede yer alması, mevcut durumda Aktif olduğu ya da İhtilafsız İzabe Tesisi Programına Uyumlu olduğu anlamına gelmez.
Aktif veya Uyumlu standart izabe tesisi adlarının en güncel ve en doğru listesi için lütfen CFSI web sitesine başvurun: www.conflictfreesourcing.org. 
B sütunu, belirli bir izabe tesisi için tedarik zinciri tarafından sıklıkla tanınan ve bildirilen izabe tesislerinin adların listesini içerir. Bu adlar, eski şirket adları, alternatif adlar, kısaltmalar veya diğer değişik biçimleri kapsayabilir. Her ne kadar adlar CFSI Standart İzabe Tesisi adı aynı olmasa da İzabe Tesisi Referans Listesinde verilen referans adlar izabe tesisinin tanımlanması için faydalı olacaktır.
C sütunu, uygun izabe tesisleri için yasal adlar olduğu anlaşılan, resmi standart izabe tesisi adlarının listesini içerir. İzabe tesislerinin büyük bir çoğunluğunda her iki sütunda da aynı değer görülecektir ancak genel adın standart addan farklı olduğu durumlar B sütununda belirtilmektedir. </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</si>
  <si>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</si>
  <si>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</si>
  <si>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</si>
  <si>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Gejiu City Datun Chengfeng Smelter</t>
  </si>
  <si>
    <t>Qiaokou</t>
  </si>
  <si>
    <t>Penglai</t>
  </si>
  <si>
    <t>HwaSeong CJ Co., Ltd.</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</si>
  <si>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</si>
  <si>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Yunnan Gejiu Zili Metallurgy Co., Ltd.</t>
  </si>
  <si>
    <t>Matrix Oribtal</t>
  </si>
  <si>
    <t>4774 Westwinds Drive NE, Suite 602, Calgary, Alberta, Canada, T3J 0L7</t>
  </si>
  <si>
    <t>Brian Ingwersen</t>
  </si>
  <si>
    <t>bingwersen@matrixorbital.ca</t>
  </si>
  <si>
    <t>403-229-2737</t>
  </si>
  <si>
    <t>http://www.matrixorbital.ca/ConflictMinerals/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</si>
</sst>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mmmm\ d\,\ yyyy;@"/>
    <numFmt numFmtId="165" formatCode="[$-409]d\-mmm\-yyyy;@"/>
    <numFmt numFmtId="166" formatCode="0.0"/>
  </numFmts>
  <fonts count="128">
    <font>
      <sz val="10"/>
      <name val="Verdana"/>
      <family val="2"/>
    </font>
    <font>
      <sz val="11"/>
      <color theme="1"/>
      <name val="Calibri"/>
      <family val="2"/>
      <scheme val="minor"/>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sz val="12"/>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1"/>
      <name val="Arial"/>
      <family val="2"/>
    </font>
    <font>
      <b/>
      <sz val="9"/>
      <name val="Verdana"/>
      <family val="2"/>
    </font>
    <font>
      <sz val="10"/>
      <color indexed="9"/>
      <name val="Verdana"/>
      <family val="2"/>
    </font>
    <font>
      <sz val="11"/>
      <name val="Verdana"/>
      <family val="2"/>
    </font>
    <font>
      <sz val="11"/>
      <name val="宋体"/>
    </font>
    <font>
      <b/>
      <sz val="11"/>
      <name val="Calibri"/>
      <family val="2"/>
    </font>
    <font>
      <sz val="11"/>
      <name val="PMingLiU"/>
      <family val="1"/>
    </font>
    <font>
      <sz val="11"/>
      <name val="ＭＳ Ｐゴシック"/>
    </font>
    <font>
      <b/>
      <sz val="8"/>
      <name val="Verdana"/>
      <family val="2"/>
    </font>
    <font>
      <sz val="10"/>
      <name val="宋体"/>
      <charset val="134"/>
    </font>
    <font>
      <sz val="10"/>
      <name val="BatangChe"/>
      <family val="3"/>
      <charset val="129"/>
    </font>
    <font>
      <sz val="10"/>
      <name val="Calibri"/>
      <family val="2"/>
    </font>
    <font>
      <sz val="10"/>
      <name val="Arial Unicode MS"/>
      <family val="2"/>
    </font>
    <font>
      <sz val="10"/>
      <color indexed="8"/>
      <name val="Verdana"/>
      <family val="2"/>
    </font>
    <font>
      <sz val="11"/>
      <color indexed="8"/>
      <name val="Verdana"/>
      <family val="2"/>
    </font>
    <font>
      <b/>
      <sz val="11"/>
      <color indexed="8"/>
      <name val="Verdana"/>
      <family val="2"/>
    </font>
    <font>
      <b/>
      <sz val="10"/>
      <color indexed="8"/>
      <name val="Verdana"/>
      <family val="2"/>
    </font>
    <font>
      <sz val="10"/>
      <color indexed="81"/>
      <name val="Tahoma"/>
      <family val="2"/>
    </font>
    <font>
      <sz val="11"/>
      <name val="Batang"/>
      <family val="1"/>
    </font>
    <font>
      <sz val="11"/>
      <color indexed="8"/>
      <name val="Calibri"/>
      <family val="2"/>
    </font>
    <font>
      <sz val="11"/>
      <color indexed="8"/>
      <name val="SimSun-ExtB"/>
      <family val="3"/>
    </font>
    <font>
      <sz val="11"/>
      <color theme="1"/>
      <name val="Calibri"/>
      <family val="2"/>
      <scheme val="minor"/>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name val="Calibri"/>
      <family val="3"/>
      <charset val="128"/>
      <scheme val="minor"/>
    </font>
    <font>
      <sz val="10"/>
      <color theme="1"/>
      <name val="Verdana"/>
      <family val="2"/>
    </font>
    <font>
      <sz val="10"/>
      <color theme="0" tint="-0.34998626667073579"/>
      <name val="Verdana"/>
      <family val="2"/>
    </font>
    <font>
      <sz val="11"/>
      <color rgb="FF000000"/>
      <name val="Verdana"/>
      <family val="2"/>
    </font>
    <font>
      <sz val="8"/>
      <color theme="1"/>
      <name val="Verdana"/>
      <family val="2"/>
    </font>
    <font>
      <sz val="11"/>
      <color rgb="FF000000"/>
      <name val="Calibri"/>
      <family val="2"/>
    </font>
    <font>
      <sz val="11"/>
      <color rgb="FF000000"/>
      <name val="SimSun-ExtB"/>
      <family val="3"/>
    </font>
    <font>
      <sz val="12"/>
      <name val="Cambria"/>
      <family val="1"/>
      <scheme val="major"/>
    </font>
    <font>
      <u/>
      <sz val="12"/>
      <color indexed="12"/>
      <name val="Cambria"/>
      <family val="1"/>
      <scheme val="major"/>
    </font>
    <font>
      <u/>
      <sz val="10"/>
      <color indexed="12"/>
      <name val="Cambria"/>
      <family val="1"/>
      <scheme val="major"/>
    </font>
    <font>
      <sz val="10"/>
      <name val="Cambria"/>
      <family val="1"/>
      <scheme val="major"/>
    </font>
    <font>
      <u/>
      <sz val="11"/>
      <color theme="10"/>
      <name val="Calibri"/>
      <family val="3"/>
      <charset val="128"/>
      <scheme val="minor"/>
    </font>
    <font>
      <u/>
      <sz val="12"/>
      <color theme="10"/>
      <name val="Calibri"/>
      <family val="3"/>
      <charset val="128"/>
      <scheme val="minor"/>
    </font>
    <font>
      <sz val="11"/>
      <color theme="1"/>
      <name val="Calibri"/>
      <family val="3"/>
      <charset val="128"/>
      <scheme val="minor"/>
    </font>
    <font>
      <sz val="10"/>
      <color theme="1"/>
      <name val="ＭＳ Ｐゴシック"/>
      <family val="3"/>
      <charset val="128"/>
    </font>
    <font>
      <sz val="12"/>
      <color theme="1"/>
      <name val="Calibri"/>
      <family val="3"/>
      <charset val="128"/>
      <scheme val="minor"/>
    </font>
    <font>
      <sz val="11"/>
      <color rgb="FF9C0006"/>
      <name val="ＭＳ Ｐゴシック"/>
      <family val="2"/>
      <charset val="128"/>
    </font>
    <font>
      <u/>
      <sz val="11"/>
      <color theme="10"/>
      <name val="Calibri"/>
      <family val="3"/>
      <charset val="129"/>
      <scheme val="minor"/>
    </font>
    <font>
      <u/>
      <sz val="12"/>
      <color theme="10"/>
      <name val="Calibri"/>
      <family val="3"/>
      <charset val="129"/>
      <scheme val="minor"/>
    </font>
    <font>
      <sz val="11"/>
      <color theme="1"/>
      <name val="Calibri"/>
      <family val="3"/>
      <charset val="129"/>
      <scheme val="minor"/>
    </font>
    <font>
      <sz val="11"/>
      <color theme="1"/>
      <name val="ＭＳ Ｐゴシック"/>
      <family val="2"/>
      <charset val="128"/>
    </font>
    <font>
      <sz val="12"/>
      <color theme="1"/>
      <name val="Calibri"/>
      <family val="3"/>
      <charset val="129"/>
      <scheme val="minor"/>
    </font>
    <font>
      <u/>
      <sz val="11"/>
      <color theme="10"/>
      <name val="Calibri"/>
      <family val="1"/>
      <charset val="136"/>
      <scheme val="minor"/>
    </font>
    <font>
      <u/>
      <sz val="12"/>
      <color theme="10"/>
      <name val="Calibri"/>
      <family val="1"/>
      <charset val="136"/>
      <scheme val="minor"/>
    </font>
    <font>
      <sz val="11"/>
      <color theme="1"/>
      <name val="Calibri"/>
      <family val="1"/>
      <charset val="136"/>
      <scheme val="minor"/>
    </font>
    <font>
      <sz val="12"/>
      <color theme="1"/>
      <name val="Calibri"/>
      <family val="1"/>
      <charset val="136"/>
      <scheme val="minor"/>
    </font>
  </fonts>
  <fills count="39">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s>
  <borders count="67">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ck">
        <color indexed="64"/>
      </right>
      <top/>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right/>
      <top/>
      <bottom style="thin">
        <color indexed="9"/>
      </bottom>
      <diagonal/>
    </border>
    <border>
      <left style="thin">
        <color indexed="56"/>
      </left>
      <right style="thin">
        <color indexed="56"/>
      </right>
      <top style="thin">
        <color indexed="56"/>
      </top>
      <bottom/>
      <diagonal/>
    </border>
    <border>
      <left style="thin">
        <color indexed="64"/>
      </left>
      <right style="thin">
        <color indexed="64"/>
      </right>
      <top style="dashed">
        <color indexed="64"/>
      </top>
      <bottom style="thin">
        <color indexed="64"/>
      </bottom>
      <diagonal/>
    </border>
    <border>
      <left/>
      <right style="thick">
        <color indexed="64"/>
      </right>
      <top/>
      <bottom style="thin">
        <color indexed="9"/>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56"/>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56"/>
      </left>
      <right/>
      <top style="thin">
        <color indexed="56"/>
      </top>
      <bottom style="thin">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17">
    <xf numFmtId="0" fontId="0" fillId="0" borderId="0"/>
    <xf numFmtId="0" fontId="77" fillId="5" borderId="0" applyNumberFormat="0" applyBorder="0" applyAlignment="0" applyProtection="0"/>
    <xf numFmtId="0" fontId="77" fillId="6" borderId="0" applyNumberFormat="0" applyBorder="0" applyAlignment="0" applyProtection="0"/>
    <xf numFmtId="0" fontId="77" fillId="7" borderId="0" applyNumberFormat="0" applyBorder="0" applyAlignment="0" applyProtection="0"/>
    <xf numFmtId="0" fontId="77" fillId="8" borderId="0" applyNumberFormat="0" applyBorder="0" applyAlignment="0" applyProtection="0"/>
    <xf numFmtId="0" fontId="77" fillId="9" borderId="0" applyNumberFormat="0" applyBorder="0" applyAlignment="0" applyProtection="0"/>
    <xf numFmtId="0" fontId="77" fillId="10" borderId="0" applyNumberFormat="0" applyBorder="0" applyAlignment="0" applyProtection="0"/>
    <xf numFmtId="0" fontId="77" fillId="11" borderId="0" applyNumberFormat="0" applyBorder="0" applyAlignment="0" applyProtection="0"/>
    <xf numFmtId="0" fontId="77" fillId="12" borderId="0" applyNumberFormat="0" applyBorder="0" applyAlignment="0" applyProtection="0"/>
    <xf numFmtId="0" fontId="77" fillId="13" borderId="0" applyNumberFormat="0" applyBorder="0" applyAlignment="0" applyProtection="0"/>
    <xf numFmtId="0" fontId="77" fillId="14" borderId="0" applyNumberFormat="0" applyBorder="0" applyAlignment="0" applyProtection="0"/>
    <xf numFmtId="0" fontId="77" fillId="15" borderId="0" applyNumberFormat="0" applyBorder="0" applyAlignment="0" applyProtection="0"/>
    <xf numFmtId="0" fontId="77" fillId="16"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19" borderId="0" applyNumberFormat="0" applyBorder="0" applyAlignment="0" applyProtection="0"/>
    <xf numFmtId="0" fontId="78" fillId="20"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3" borderId="0" applyNumberFormat="0" applyBorder="0" applyAlignment="0" applyProtection="0"/>
    <xf numFmtId="0" fontId="78" fillId="24"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7" borderId="0" applyNumberFormat="0" applyBorder="0" applyAlignment="0" applyProtection="0"/>
    <xf numFmtId="0" fontId="78" fillId="28" borderId="0" applyNumberFormat="0" applyBorder="0" applyAlignment="0" applyProtection="0"/>
    <xf numFmtId="0" fontId="79" fillId="29" borderId="0" applyNumberFormat="0" applyBorder="0" applyAlignment="0" applyProtection="0"/>
    <xf numFmtId="0" fontId="80" fillId="29" borderId="0" applyNumberFormat="0" applyBorder="0" applyAlignment="0" applyProtection="0"/>
    <xf numFmtId="0" fontId="81" fillId="30" borderId="58" applyNumberFormat="0" applyAlignment="0" applyProtection="0"/>
    <xf numFmtId="0" fontId="82" fillId="31" borderId="59" applyNumberFormat="0" applyAlignment="0" applyProtection="0"/>
    <xf numFmtId="164" fontId="8" fillId="0" borderId="0"/>
    <xf numFmtId="0" fontId="83" fillId="0" borderId="0" applyNumberFormat="0" applyFill="0" applyBorder="0" applyAlignment="0" applyProtection="0"/>
    <xf numFmtId="0" fontId="84" fillId="32" borderId="0" applyNumberFormat="0" applyBorder="0" applyAlignment="0" applyProtection="0"/>
    <xf numFmtId="0" fontId="85" fillId="0" borderId="60" applyNumberFormat="0" applyFill="0" applyAlignment="0" applyProtection="0"/>
    <xf numFmtId="0" fontId="86" fillId="0" borderId="61" applyNumberFormat="0" applyFill="0" applyAlignment="0" applyProtection="0"/>
    <xf numFmtId="0" fontId="87" fillId="0" borderId="62" applyNumberFormat="0" applyFill="0" applyAlignment="0" applyProtection="0"/>
    <xf numFmtId="0" fontId="87" fillId="0" borderId="0" applyNumberFormat="0" applyFill="0" applyBorder="0" applyAlignment="0" applyProtection="0"/>
    <xf numFmtId="0" fontId="9" fillId="0" borderId="0" applyNumberFormat="0" applyFill="0" applyBorder="0" applyAlignment="0" applyProtection="0">
      <alignment vertical="top"/>
      <protection locked="0"/>
    </xf>
    <xf numFmtId="164" fontId="88" fillId="0" borderId="0" applyNumberFormat="0" applyFill="0" applyBorder="0" applyAlignment="0" applyProtection="0"/>
    <xf numFmtId="0" fontId="89" fillId="0" borderId="0" applyNumberFormat="0" applyFill="0" applyBorder="0" applyAlignment="0" applyProtection="0"/>
    <xf numFmtId="164" fontId="88" fillId="0" borderId="0" applyNumberFormat="0" applyFill="0" applyBorder="0" applyAlignment="0" applyProtection="0">
      <alignment vertical="top"/>
      <protection locked="0"/>
    </xf>
    <xf numFmtId="164" fontId="88" fillId="0" borderId="0" applyNumberFormat="0" applyFill="0" applyBorder="0" applyAlignment="0" applyProtection="0">
      <alignment vertical="top"/>
      <protection locked="0"/>
    </xf>
    <xf numFmtId="0" fontId="90" fillId="0" borderId="0" applyNumberFormat="0" applyFill="0" applyBorder="0" applyAlignment="0" applyProtection="0"/>
    <xf numFmtId="0" fontId="9" fillId="0" borderId="0" applyNumberFormat="0" applyFill="0" applyBorder="0" applyAlignment="0" applyProtection="0">
      <alignment vertical="top"/>
      <protection locked="0"/>
    </xf>
    <xf numFmtId="164" fontId="88" fillId="0" borderId="0" applyNumberFormat="0" applyFill="0" applyBorder="0" applyAlignment="0" applyProtection="0">
      <alignment vertical="top"/>
      <protection locked="0"/>
    </xf>
    <xf numFmtId="0" fontId="91" fillId="33" borderId="58" applyNumberFormat="0" applyAlignment="0" applyProtection="0"/>
    <xf numFmtId="0" fontId="92" fillId="0" borderId="63" applyNumberFormat="0" applyFill="0" applyAlignment="0" applyProtection="0"/>
    <xf numFmtId="0" fontId="93" fillId="34" borderId="0" applyNumberFormat="0" applyBorder="0" applyAlignment="0" applyProtection="0"/>
    <xf numFmtId="164" fontId="94" fillId="0" borderId="0"/>
    <xf numFmtId="0" fontId="8" fillId="0" borderId="0"/>
    <xf numFmtId="0" fontId="8" fillId="0" borderId="0"/>
    <xf numFmtId="164" fontId="94"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94" fillId="0" borderId="0"/>
    <xf numFmtId="0" fontId="94" fillId="0" borderId="0"/>
    <xf numFmtId="0" fontId="94" fillId="0" borderId="0"/>
    <xf numFmtId="164" fontId="94" fillId="0" borderId="0"/>
    <xf numFmtId="0" fontId="7" fillId="0" borderId="0"/>
    <xf numFmtId="164" fontId="8" fillId="0" borderId="0"/>
    <xf numFmtId="0" fontId="77" fillId="0" borderId="0"/>
    <xf numFmtId="0" fontId="77" fillId="0" borderId="0"/>
    <xf numFmtId="164" fontId="7" fillId="0" borderId="0"/>
    <xf numFmtId="0" fontId="77" fillId="0" borderId="0"/>
    <xf numFmtId="0" fontId="7" fillId="0" borderId="0"/>
    <xf numFmtId="0" fontId="77" fillId="0" borderId="0"/>
    <xf numFmtId="0" fontId="95" fillId="0" borderId="0">
      <alignment vertical="center"/>
    </xf>
    <xf numFmtId="164" fontId="94" fillId="0" borderId="0"/>
    <xf numFmtId="0" fontId="96" fillId="0" borderId="0"/>
    <xf numFmtId="0" fontId="77" fillId="0" borderId="0"/>
    <xf numFmtId="0" fontId="8" fillId="0" borderId="0"/>
    <xf numFmtId="0" fontId="96" fillId="0" borderId="0"/>
    <xf numFmtId="0" fontId="77" fillId="0" borderId="0"/>
    <xf numFmtId="0" fontId="77" fillId="0" borderId="0"/>
    <xf numFmtId="0" fontId="77" fillId="0" borderId="0"/>
    <xf numFmtId="0" fontId="77" fillId="0" borderId="0"/>
    <xf numFmtId="0" fontId="77" fillId="0" borderId="0"/>
    <xf numFmtId="0" fontId="8" fillId="0" borderId="0"/>
    <xf numFmtId="0" fontId="77" fillId="0" borderId="0"/>
    <xf numFmtId="0" fontId="8" fillId="0" borderId="0"/>
    <xf numFmtId="0" fontId="7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6" fillId="0" borderId="0"/>
    <xf numFmtId="0" fontId="96" fillId="0" borderId="0"/>
    <xf numFmtId="0" fontId="7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7" fillId="0" borderId="0"/>
    <xf numFmtId="0" fontId="77" fillId="0" borderId="0"/>
    <xf numFmtId="164" fontId="94" fillId="0" borderId="0"/>
    <xf numFmtId="164" fontId="94" fillId="0" borderId="0"/>
    <xf numFmtId="0" fontId="97" fillId="0" borderId="0"/>
    <xf numFmtId="0" fontId="12" fillId="0" borderId="0"/>
    <xf numFmtId="0" fontId="77" fillId="35" borderId="64" applyNumberFormat="0" applyFont="0" applyAlignment="0" applyProtection="0"/>
    <xf numFmtId="0" fontId="98" fillId="30" borderId="65" applyNumberFormat="0" applyAlignment="0" applyProtection="0"/>
    <xf numFmtId="0" fontId="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94" fillId="0" borderId="0"/>
    <xf numFmtId="0" fontId="99" fillId="0" borderId="0" applyNumberFormat="0" applyFill="0" applyBorder="0" applyAlignment="0" applyProtection="0"/>
    <xf numFmtId="0" fontId="100" fillId="0" borderId="66" applyNumberFormat="0" applyFill="0" applyAlignment="0" applyProtection="0"/>
    <xf numFmtId="0" fontId="101" fillId="0" borderId="0" applyNumberFormat="0" applyFill="0" applyBorder="0" applyAlignment="0" applyProtection="0"/>
    <xf numFmtId="164" fontId="12" fillId="0" borderId="0"/>
    <xf numFmtId="0" fontId="8" fillId="0" borderId="0"/>
    <xf numFmtId="0" fontId="8" fillId="0" borderId="0"/>
    <xf numFmtId="0" fontId="8" fillId="0" borderId="0"/>
    <xf numFmtId="164" fontId="8" fillId="0" borderId="0"/>
    <xf numFmtId="0" fontId="12" fillId="0" borderId="0"/>
    <xf numFmtId="0" fontId="113" fillId="0" borderId="0" applyNumberFormat="0" applyFill="0" applyBorder="0" applyAlignment="0" applyProtection="0"/>
    <xf numFmtId="0" fontId="114" fillId="0" borderId="0" applyNumberFormat="0" applyFill="0" applyBorder="0" applyAlignment="0" applyProtection="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6" fillId="0" borderId="0">
      <alignment vertical="center"/>
    </xf>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7"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8" fillId="29" borderId="0" applyNumberFormat="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2" fillId="0" borderId="0"/>
    <xf numFmtId="0" fontId="121" fillId="0" borderId="0"/>
    <xf numFmtId="0" fontId="122"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2" fillId="0" borderId="0"/>
    <xf numFmtId="0" fontId="122" fillId="0" borderId="0"/>
    <xf numFmtId="0" fontId="121" fillId="0" borderId="0"/>
    <xf numFmtId="0" fontId="121" fillId="0" borderId="0"/>
    <xf numFmtId="0" fontId="121" fillId="0" borderId="0"/>
    <xf numFmtId="0" fontId="123"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8" fillId="0" borderId="0"/>
    <xf numFmtId="0" fontId="8" fillId="0" borderId="0"/>
    <xf numFmtId="0" fontId="8" fillId="0" borderId="0"/>
    <xf numFmtId="0" fontId="8" fillId="0" borderId="0"/>
    <xf numFmtId="0" fontId="8" fillId="0" borderId="0"/>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4" fillId="0" borderId="0" applyNumberFormat="0" applyFill="0" applyBorder="0" applyAlignment="0" applyProtection="0"/>
    <xf numFmtId="0" fontId="125" fillId="0" borderId="0" applyNumberFormat="0" applyFill="0" applyBorder="0" applyAlignment="0" applyProtection="0"/>
    <xf numFmtId="0" fontId="1" fillId="0" borderId="0"/>
    <xf numFmtId="0" fontId="1" fillId="0" borderId="0"/>
    <xf numFmtId="0" fontId="1" fillId="0" borderId="0"/>
    <xf numFmtId="0" fontId="1" fillId="0" borderId="0"/>
    <xf numFmtId="0" fontId="126" fillId="0" borderId="0"/>
    <xf numFmtId="0" fontId="126" fillId="0" borderId="0"/>
    <xf numFmtId="0" fontId="1" fillId="0" borderId="0"/>
    <xf numFmtId="0" fontId="126" fillId="0" borderId="0"/>
    <xf numFmtId="0" fontId="126" fillId="0" borderId="0"/>
    <xf numFmtId="0" fontId="1" fillId="0" borderId="0"/>
    <xf numFmtId="0" fontId="1" fillId="0" borderId="0"/>
    <xf numFmtId="0" fontId="126" fillId="0" borderId="0"/>
    <xf numFmtId="0" fontId="126" fillId="0" borderId="0"/>
    <xf numFmtId="0" fontId="1" fillId="0" borderId="0"/>
    <xf numFmtId="0" fontId="126" fillId="0" borderId="0"/>
    <xf numFmtId="0" fontId="126" fillId="0" borderId="0"/>
    <xf numFmtId="0" fontId="1" fillId="0" borderId="0"/>
    <xf numFmtId="0" fontId="126" fillId="0" borderId="0"/>
    <xf numFmtId="0" fontId="1" fillId="0" borderId="0"/>
    <xf numFmtId="0" fontId="126" fillId="0" borderId="0"/>
    <xf numFmtId="0" fontId="1" fillId="0" borderId="0"/>
    <xf numFmtId="0" fontId="126" fillId="0" borderId="0"/>
    <xf numFmtId="0" fontId="1" fillId="0" borderId="0"/>
    <xf numFmtId="0" fontId="126" fillId="0" borderId="0"/>
    <xf numFmtId="0" fontId="1" fillId="0" borderId="0"/>
    <xf numFmtId="0" fontId="126" fillId="0" borderId="0"/>
    <xf numFmtId="0" fontId="1" fillId="0" borderId="0"/>
    <xf numFmtId="0" fontId="126" fillId="0" borderId="0"/>
    <xf numFmtId="0" fontId="1" fillId="0" borderId="0"/>
    <xf numFmtId="0" fontId="1" fillId="0" borderId="0"/>
    <xf numFmtId="0" fontId="1" fillId="0" borderId="0"/>
    <xf numFmtId="0" fontId="126" fillId="0" borderId="0"/>
    <xf numFmtId="0" fontId="126" fillId="0" borderId="0"/>
    <xf numFmtId="0" fontId="1" fillId="0" borderId="0"/>
    <xf numFmtId="0" fontId="126" fillId="0" borderId="0"/>
    <xf numFmtId="0" fontId="126" fillId="0" borderId="0"/>
    <xf numFmtId="0" fontId="1" fillId="0" borderId="0"/>
    <xf numFmtId="0" fontId="126" fillId="0" borderId="0"/>
    <xf numFmtId="0" fontId="1" fillId="0" borderId="0"/>
    <xf numFmtId="0" fontId="126" fillId="0" borderId="0"/>
    <xf numFmtId="0" fontId="1" fillId="0" borderId="0"/>
    <xf numFmtId="0" fontId="126" fillId="0" borderId="0"/>
    <xf numFmtId="0" fontId="1" fillId="0" borderId="0"/>
    <xf numFmtId="0" fontId="1" fillId="0" borderId="0"/>
    <xf numFmtId="0" fontId="126" fillId="0" borderId="0"/>
    <xf numFmtId="0" fontId="126" fillId="0" borderId="0"/>
    <xf numFmtId="0" fontId="127" fillId="0" borderId="0"/>
    <xf numFmtId="0" fontId="1" fillId="0" borderId="0"/>
    <xf numFmtId="0" fontId="1" fillId="0" borderId="0"/>
    <xf numFmtId="0" fontId="1" fillId="0" borderId="0"/>
    <xf numFmtId="0" fontId="1" fillId="0" borderId="0"/>
    <xf numFmtId="0" fontId="126" fillId="0" borderId="0"/>
    <xf numFmtId="0" fontId="126" fillId="0" borderId="0"/>
    <xf numFmtId="0" fontId="1" fillId="0" borderId="0"/>
    <xf numFmtId="0" fontId="126" fillId="0" borderId="0"/>
    <xf numFmtId="0" fontId="126" fillId="0" borderId="0"/>
    <xf numFmtId="0" fontId="1" fillId="0" borderId="0"/>
    <xf numFmtId="0" fontId="1" fillId="0" borderId="0"/>
    <xf numFmtId="0" fontId="126" fillId="0" borderId="0"/>
    <xf numFmtId="0" fontId="126" fillId="0" borderId="0"/>
    <xf numFmtId="0" fontId="1" fillId="0" borderId="0"/>
    <xf numFmtId="0" fontId="126" fillId="0" borderId="0"/>
    <xf numFmtId="0" fontId="126" fillId="0" borderId="0"/>
  </cellStyleXfs>
  <cellXfs count="402">
    <xf numFmtId="0" fontId="0" fillId="0" borderId="0" xfId="0"/>
    <xf numFmtId="0" fontId="17" fillId="2" borderId="1" xfId="0" applyFont="1" applyFill="1" applyBorder="1" applyAlignment="1" applyProtection="1">
      <alignment horizontal="center" vertical="center"/>
    </xf>
    <xf numFmtId="0" fontId="28" fillId="2" borderId="2" xfId="115" applyFont="1" applyFill="1" applyBorder="1" applyAlignment="1">
      <alignment horizontal="center" vertical="top" wrapText="1"/>
    </xf>
    <xf numFmtId="0" fontId="0" fillId="2" borderId="0" xfId="0" applyFill="1"/>
    <xf numFmtId="0" fontId="13" fillId="2" borderId="0" xfId="0" applyFont="1" applyFill="1" applyBorder="1" applyAlignment="1">
      <alignment horizontal="center" vertical="center"/>
    </xf>
    <xf numFmtId="0" fontId="8" fillId="2" borderId="0" xfId="0" applyFont="1" applyFill="1" applyBorder="1"/>
    <xf numFmtId="0" fontId="11" fillId="2" borderId="0" xfId="0" applyFont="1" applyFill="1" applyBorder="1"/>
    <xf numFmtId="0" fontId="16"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3" fillId="2" borderId="0" xfId="0" applyFont="1" applyFill="1" applyBorder="1" applyAlignment="1" applyProtection="1">
      <alignment vertical="center"/>
    </xf>
    <xf numFmtId="0" fontId="19" fillId="2" borderId="0" xfId="0" applyFont="1" applyFill="1" applyBorder="1" applyAlignment="1" applyProtection="1">
      <alignment horizontal="left" wrapText="1"/>
    </xf>
    <xf numFmtId="0" fontId="17" fillId="2" borderId="0"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0" fillId="2" borderId="0" xfId="0" applyFill="1" applyAlignment="1" applyProtection="1">
      <alignment vertical="top"/>
    </xf>
    <xf numFmtId="0" fontId="11" fillId="2" borderId="0" xfId="0" applyFont="1" applyFill="1" applyBorder="1" applyProtection="1">
      <protection hidden="1"/>
    </xf>
    <xf numFmtId="0" fontId="13" fillId="2" borderId="0" xfId="0" applyFont="1" applyFill="1" applyBorder="1" applyAlignment="1" applyProtection="1">
      <alignment horizontal="center" vertical="top"/>
      <protection hidden="1"/>
    </xf>
    <xf numFmtId="0" fontId="13" fillId="2" borderId="0" xfId="0" applyFont="1" applyFill="1" applyBorder="1" applyAlignment="1" applyProtection="1">
      <alignment vertical="center"/>
      <protection hidden="1"/>
    </xf>
    <xf numFmtId="0" fontId="17" fillId="2" borderId="0" xfId="0" applyFont="1" applyFill="1" applyBorder="1" applyAlignment="1" applyProtection="1">
      <alignment horizontal="left" wrapText="1"/>
      <protection hidden="1"/>
    </xf>
    <xf numFmtId="0" fontId="0" fillId="0" borderId="0" xfId="0" applyProtection="1">
      <protection hidden="1"/>
    </xf>
    <xf numFmtId="0" fontId="8" fillId="2" borderId="0" xfId="0" applyFont="1" applyFill="1" applyProtection="1"/>
    <xf numFmtId="0" fontId="8"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6" fillId="2" borderId="0" xfId="0" applyFont="1" applyFill="1" applyBorder="1" applyAlignment="1" applyProtection="1">
      <alignment horizontal="right" vertical="center"/>
      <protection hidden="1"/>
    </xf>
    <xf numFmtId="0" fontId="0" fillId="0" borderId="0" xfId="0" applyAlignment="1"/>
    <xf numFmtId="0" fontId="13" fillId="2" borderId="6" xfId="0" applyFont="1" applyFill="1" applyBorder="1" applyAlignment="1" applyProtection="1">
      <alignment vertical="center" wrapText="1"/>
      <protection hidden="1"/>
    </xf>
    <xf numFmtId="0" fontId="13" fillId="2" borderId="7" xfId="0" applyFont="1" applyFill="1" applyBorder="1" applyAlignment="1" applyProtection="1">
      <alignment vertical="center" wrapText="1"/>
      <protection hidden="1"/>
    </xf>
    <xf numFmtId="0" fontId="13" fillId="2" borderId="8" xfId="0" applyFont="1" applyFill="1" applyBorder="1" applyAlignment="1" applyProtection="1">
      <alignment vertical="center" wrapText="1"/>
      <protection hidden="1"/>
    </xf>
    <xf numFmtId="0" fontId="13"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8" fillId="2" borderId="9" xfId="115" applyFont="1" applyFill="1" applyBorder="1" applyAlignment="1">
      <alignment vertical="top" wrapText="1"/>
    </xf>
    <xf numFmtId="0" fontId="11" fillId="2" borderId="0" xfId="0" applyFont="1" applyFill="1" applyBorder="1" applyAlignment="1"/>
    <xf numFmtId="164" fontId="28" fillId="2" borderId="9" xfId="115" applyNumberFormat="1" applyFont="1" applyFill="1" applyBorder="1" applyAlignment="1">
      <alignment horizontal="center" vertical="top" wrapText="1"/>
    </xf>
    <xf numFmtId="0" fontId="13" fillId="2" borderId="0" xfId="0" applyFont="1" applyFill="1" applyBorder="1" applyAlignment="1">
      <alignment horizontal="left"/>
    </xf>
    <xf numFmtId="0" fontId="16" fillId="2" borderId="0" xfId="0" applyFont="1" applyFill="1" applyBorder="1" applyAlignment="1">
      <alignment horizontal="left"/>
    </xf>
    <xf numFmtId="0" fontId="41" fillId="2" borderId="10" xfId="115" applyFont="1" applyFill="1" applyBorder="1" applyAlignment="1">
      <alignment horizontal="center" vertical="center" wrapText="1"/>
    </xf>
    <xf numFmtId="0" fontId="41" fillId="2" borderId="11" xfId="115" applyFont="1" applyFill="1" applyBorder="1" applyAlignment="1">
      <alignment horizontal="center" vertical="center" wrapText="1"/>
    </xf>
    <xf numFmtId="0" fontId="0" fillId="2" borderId="10" xfId="0" applyFill="1" applyBorder="1" applyProtection="1"/>
    <xf numFmtId="0" fontId="6" fillId="0" borderId="0" xfId="0" applyFont="1" applyFill="1"/>
    <xf numFmtId="0" fontId="6" fillId="0" borderId="0" xfId="0" applyFont="1" applyFill="1" applyAlignment="1"/>
    <xf numFmtId="0" fontId="0" fillId="0" borderId="0" xfId="0" applyFill="1" applyAlignment="1">
      <alignment vertical="top"/>
    </xf>
    <xf numFmtId="0" fontId="0" fillId="2" borderId="6" xfId="0" applyFill="1" applyBorder="1" applyAlignment="1" applyProtection="1">
      <alignment vertical="top" wrapText="1"/>
    </xf>
    <xf numFmtId="0" fontId="13" fillId="2" borderId="12" xfId="0" applyFont="1" applyFill="1" applyBorder="1" applyAlignment="1" applyProtection="1">
      <alignment vertical="center"/>
    </xf>
    <xf numFmtId="0" fontId="3" fillId="2" borderId="7" xfId="0" applyFont="1" applyFill="1" applyBorder="1" applyAlignment="1" applyProtection="1">
      <alignment vertical="center"/>
    </xf>
    <xf numFmtId="0" fontId="20" fillId="2" borderId="13" xfId="0" applyFont="1" applyFill="1" applyBorder="1" applyAlignment="1" applyProtection="1">
      <alignment horizontal="center" vertical="center"/>
      <protection locked="0" hidden="1"/>
    </xf>
    <xf numFmtId="0" fontId="13" fillId="2" borderId="14" xfId="0" applyFont="1" applyFill="1" applyBorder="1" applyAlignment="1" applyProtection="1">
      <alignment vertical="center"/>
    </xf>
    <xf numFmtId="0" fontId="3" fillId="2" borderId="15" xfId="0" applyFont="1" applyFill="1" applyBorder="1" applyAlignment="1" applyProtection="1">
      <alignment vertical="center"/>
    </xf>
    <xf numFmtId="0" fontId="16" fillId="2" borderId="13" xfId="0" applyFont="1" applyFill="1" applyBorder="1" applyAlignment="1" applyProtection="1">
      <alignment horizontal="right" vertical="center"/>
      <protection hidden="1"/>
    </xf>
    <xf numFmtId="0" fontId="13" fillId="2" borderId="6" xfId="0" applyFont="1" applyFill="1" applyBorder="1" applyAlignment="1" applyProtection="1">
      <alignment vertical="center"/>
    </xf>
    <xf numFmtId="0" fontId="13" fillId="2" borderId="16" xfId="0" applyFont="1" applyFill="1" applyBorder="1" applyAlignment="1" applyProtection="1">
      <alignment vertical="center"/>
    </xf>
    <xf numFmtId="0" fontId="3" fillId="2" borderId="17" xfId="0" applyFont="1" applyFill="1" applyBorder="1" applyAlignment="1" applyProtection="1">
      <alignment vertical="center"/>
    </xf>
    <xf numFmtId="0" fontId="16" fillId="2" borderId="18" xfId="0" applyFont="1" applyFill="1" applyBorder="1" applyAlignment="1" applyProtection="1">
      <alignment wrapText="1"/>
      <protection hidden="1"/>
    </xf>
    <xf numFmtId="0" fontId="0" fillId="3" borderId="10" xfId="0" applyFill="1" applyBorder="1" applyProtection="1"/>
    <xf numFmtId="0" fontId="16" fillId="2" borderId="19" xfId="0" applyFont="1" applyFill="1" applyBorder="1" applyAlignment="1" applyProtection="1">
      <alignment horizontal="right" vertical="center"/>
      <protection hidden="1"/>
    </xf>
    <xf numFmtId="0" fontId="34" fillId="2" borderId="0" xfId="0" applyFont="1" applyFill="1" applyBorder="1" applyAlignment="1" applyProtection="1">
      <alignment horizontal="right" vertical="center"/>
    </xf>
    <xf numFmtId="0" fontId="35" fillId="2" borderId="0" xfId="0" applyFont="1" applyFill="1" applyBorder="1" applyAlignment="1" applyProtection="1">
      <alignment vertical="center"/>
    </xf>
    <xf numFmtId="0" fontId="13" fillId="2" borderId="20" xfId="0" applyFont="1" applyFill="1" applyBorder="1" applyAlignment="1" applyProtection="1">
      <alignment vertical="center"/>
    </xf>
    <xf numFmtId="0" fontId="35" fillId="2" borderId="18" xfId="0" applyFont="1" applyFill="1" applyBorder="1" applyAlignment="1" applyProtection="1">
      <alignment vertical="center"/>
    </xf>
    <xf numFmtId="0" fontId="13" fillId="2" borderId="21" xfId="0" applyFont="1" applyFill="1" applyBorder="1" applyAlignment="1" applyProtection="1">
      <alignment vertical="center"/>
    </xf>
    <xf numFmtId="2" fontId="16" fillId="2" borderId="1" xfId="0" applyNumberFormat="1" applyFont="1" applyFill="1" applyBorder="1" applyAlignment="1" applyProtection="1">
      <alignment horizontal="left" wrapText="1"/>
      <protection hidden="1"/>
    </xf>
    <xf numFmtId="0" fontId="16" fillId="2" borderId="19" xfId="0" applyFont="1" applyFill="1" applyBorder="1" applyAlignment="1" applyProtection="1">
      <alignment horizontal="left"/>
      <protection hidden="1"/>
    </xf>
    <xf numFmtId="0" fontId="17" fillId="2" borderId="1" xfId="0" applyFont="1" applyFill="1" applyBorder="1" applyAlignment="1" applyProtection="1">
      <alignment horizontal="left" vertical="center"/>
    </xf>
    <xf numFmtId="0" fontId="3" fillId="2" borderId="22" xfId="0" applyFont="1" applyFill="1" applyBorder="1" applyAlignment="1" applyProtection="1">
      <alignment vertical="center"/>
    </xf>
    <xf numFmtId="0" fontId="17" fillId="2" borderId="13" xfId="0" applyFont="1" applyFill="1" applyBorder="1" applyAlignment="1" applyProtection="1">
      <alignment vertical="center" wrapText="1"/>
      <protection hidden="1"/>
    </xf>
    <xf numFmtId="0" fontId="17" fillId="2" borderId="12" xfId="0" applyFont="1" applyFill="1" applyBorder="1" applyAlignment="1" applyProtection="1">
      <alignment vertical="center"/>
    </xf>
    <xf numFmtId="0" fontId="17" fillId="2" borderId="1" xfId="0" applyFont="1" applyFill="1" applyBorder="1" applyAlignment="1" applyProtection="1">
      <alignment vertical="center" wrapText="1"/>
      <protection hidden="1"/>
    </xf>
    <xf numFmtId="2" fontId="18" fillId="2" borderId="1" xfId="0" applyNumberFormat="1" applyFont="1" applyFill="1" applyBorder="1" applyAlignment="1" applyProtection="1">
      <alignment horizontal="left" wrapText="1"/>
      <protection hidden="1"/>
    </xf>
    <xf numFmtId="0" fontId="17" fillId="2" borderId="1" xfId="0" applyFont="1" applyFill="1" applyBorder="1" applyAlignment="1" applyProtection="1">
      <alignment vertical="center"/>
    </xf>
    <xf numFmtId="0" fontId="17" fillId="2" borderId="1"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left" vertical="center"/>
      <protection hidden="1"/>
    </xf>
    <xf numFmtId="0" fontId="13" fillId="2" borderId="1" xfId="0" applyFont="1" applyFill="1" applyBorder="1" applyAlignment="1" applyProtection="1">
      <alignment horizontal="center" vertical="center"/>
    </xf>
    <xf numFmtId="0" fontId="13" fillId="2" borderId="1" xfId="0" applyFont="1" applyFill="1" applyBorder="1" applyAlignment="1" applyProtection="1">
      <alignment horizontal="left" vertical="center"/>
    </xf>
    <xf numFmtId="0" fontId="3" fillId="2" borderId="8" xfId="0" applyFont="1" applyFill="1" applyBorder="1" applyAlignment="1" applyProtection="1">
      <alignment vertical="center"/>
    </xf>
    <xf numFmtId="0" fontId="4" fillId="2" borderId="13" xfId="0" applyFont="1" applyFill="1" applyBorder="1" applyAlignment="1" applyProtection="1">
      <alignment horizontal="left" vertical="top" wrapText="1"/>
      <protection hidden="1"/>
    </xf>
    <xf numFmtId="0" fontId="11" fillId="0" borderId="0" xfId="133" applyFont="1" applyFill="1" applyAlignment="1" applyProtection="1"/>
    <xf numFmtId="0" fontId="8" fillId="0" borderId="0" xfId="133"/>
    <xf numFmtId="0" fontId="8" fillId="0" borderId="0" xfId="133" applyFill="1" applyAlignment="1" applyProtection="1"/>
    <xf numFmtId="0" fontId="25" fillId="0" borderId="0" xfId="36" applyFont="1" applyFill="1" applyAlignment="1" applyProtection="1">
      <alignment horizontal="center"/>
      <protection hidden="1"/>
    </xf>
    <xf numFmtId="0" fontId="25" fillId="0" borderId="0" xfId="36" applyFont="1" applyFill="1" applyAlignment="1" applyProtection="1">
      <alignment horizontal="center" wrapText="1"/>
      <protection hidden="1"/>
    </xf>
    <xf numFmtId="0" fontId="4" fillId="0" borderId="0" xfId="0" applyFont="1" applyAlignment="1" applyProtection="1">
      <alignment horizontal="center"/>
      <protection hidden="1"/>
    </xf>
    <xf numFmtId="0" fontId="29" fillId="0" borderId="0" xfId="0" applyFont="1" applyProtection="1">
      <protection hidden="1"/>
    </xf>
    <xf numFmtId="3" fontId="8" fillId="3" borderId="0" xfId="0" applyNumberFormat="1" applyFont="1" applyFill="1" applyAlignment="1" applyProtection="1">
      <protection hidden="1"/>
    </xf>
    <xf numFmtId="0" fontId="8" fillId="3" borderId="0" xfId="0" applyFont="1" applyFill="1" applyProtection="1">
      <protection hidden="1"/>
    </xf>
    <xf numFmtId="0" fontId="8" fillId="0" borderId="0" xfId="0" applyFont="1" applyFill="1" applyProtection="1">
      <protection hidden="1"/>
    </xf>
    <xf numFmtId="0" fontId="8" fillId="0" borderId="0" xfId="0" applyFont="1" applyAlignment="1" applyProtection="1">
      <alignment wrapText="1"/>
      <protection hidden="1"/>
    </xf>
    <xf numFmtId="0" fontId="16" fillId="2" borderId="18" xfId="0" applyFont="1" applyFill="1" applyBorder="1" applyAlignment="1" applyProtection="1">
      <alignment horizontal="center" wrapText="1"/>
      <protection hidden="1"/>
    </xf>
    <xf numFmtId="0" fontId="16"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3" fillId="2" borderId="24" xfId="0" applyFont="1" applyFill="1" applyBorder="1" applyAlignment="1" applyProtection="1">
      <alignment vertical="center"/>
      <protection hidden="1"/>
    </xf>
    <xf numFmtId="0" fontId="13" fillId="2" borderId="12" xfId="0" applyFont="1" applyFill="1" applyBorder="1" applyAlignment="1" applyProtection="1">
      <alignment vertical="center"/>
      <protection hidden="1"/>
    </xf>
    <xf numFmtId="0" fontId="13" fillId="2" borderId="25" xfId="0" applyFont="1" applyFill="1" applyBorder="1" applyAlignment="1" applyProtection="1">
      <alignment vertical="center"/>
      <protection hidden="1"/>
    </xf>
    <xf numFmtId="0" fontId="16" fillId="2" borderId="0" xfId="0" applyFont="1" applyFill="1" applyBorder="1" applyAlignment="1" applyProtection="1">
      <alignment wrapText="1"/>
      <protection hidden="1"/>
    </xf>
    <xf numFmtId="0" fontId="13" fillId="2" borderId="0" xfId="0" applyFont="1" applyFill="1" applyBorder="1" applyAlignment="1" applyProtection="1">
      <alignment horizontal="left" vertical="center"/>
      <protection hidden="1"/>
    </xf>
    <xf numFmtId="2" fontId="16" fillId="2" borderId="19" xfId="0" applyNumberFormat="1" applyFont="1" applyFill="1" applyBorder="1" applyAlignment="1" applyProtection="1">
      <alignment horizontal="left" vertical="center" wrapText="1"/>
      <protection hidden="1"/>
    </xf>
    <xf numFmtId="0" fontId="17" fillId="2" borderId="1" xfId="0" applyFont="1" applyFill="1" applyBorder="1" applyAlignment="1" applyProtection="1">
      <alignment horizontal="left" vertical="center"/>
      <protection hidden="1"/>
    </xf>
    <xf numFmtId="0" fontId="19" fillId="2" borderId="18" xfId="0" applyFont="1" applyFill="1" applyBorder="1" applyAlignment="1" applyProtection="1">
      <alignment horizontal="left" vertical="center" wrapText="1"/>
      <protection hidden="1"/>
    </xf>
    <xf numFmtId="0" fontId="34" fillId="2" borderId="0" xfId="0" applyFont="1" applyFill="1" applyBorder="1" applyAlignment="1" applyProtection="1">
      <alignment horizontal="right" vertical="center"/>
      <protection hidden="1"/>
    </xf>
    <xf numFmtId="0" fontId="17" fillId="2" borderId="19" xfId="0" applyFont="1" applyFill="1" applyBorder="1" applyAlignment="1" applyProtection="1">
      <alignment horizontal="center" vertical="center"/>
      <protection hidden="1"/>
    </xf>
    <xf numFmtId="0" fontId="17" fillId="2" borderId="19" xfId="0" applyFont="1" applyFill="1" applyBorder="1" applyAlignment="1" applyProtection="1">
      <alignment horizontal="left" vertical="center"/>
      <protection hidden="1"/>
    </xf>
    <xf numFmtId="0" fontId="17" fillId="2" borderId="0" xfId="0" applyFont="1" applyFill="1" applyBorder="1" applyAlignment="1" applyProtection="1">
      <alignment horizontal="center" vertical="center"/>
      <protection hidden="1"/>
    </xf>
    <xf numFmtId="0" fontId="17"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0" fontId="13" fillId="2" borderId="19" xfId="0" applyFont="1" applyFill="1" applyBorder="1" applyAlignment="1" applyProtection="1">
      <alignment vertical="center"/>
      <protection hidden="1"/>
    </xf>
    <xf numFmtId="0" fontId="13" fillId="2" borderId="26" xfId="0" applyFont="1" applyFill="1" applyBorder="1" applyAlignment="1" applyProtection="1">
      <alignment vertical="center"/>
      <protection hidden="1"/>
    </xf>
    <xf numFmtId="0" fontId="13" fillId="2" borderId="18" xfId="0" applyFont="1" applyFill="1" applyBorder="1" applyAlignment="1" applyProtection="1">
      <alignment vertical="center"/>
      <protection hidden="1"/>
    </xf>
    <xf numFmtId="0" fontId="13" fillId="2" borderId="27" xfId="0" applyFont="1" applyFill="1" applyBorder="1" applyAlignment="1" applyProtection="1">
      <alignment vertical="center"/>
      <protection hidden="1"/>
    </xf>
    <xf numFmtId="1" fontId="8" fillId="0" borderId="0" xfId="0" applyNumberFormat="1" applyFont="1" applyProtection="1">
      <protection hidden="1"/>
    </xf>
    <xf numFmtId="1" fontId="8" fillId="3" borderId="0" xfId="0" applyNumberFormat="1" applyFont="1" applyFill="1" applyProtection="1">
      <protection hidden="1"/>
    </xf>
    <xf numFmtId="0" fontId="9" fillId="0" borderId="10" xfId="36"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9" fillId="0" borderId="10" xfId="36" applyFill="1" applyBorder="1" applyAlignment="1" applyProtection="1">
      <alignment vertical="center" wrapText="1"/>
      <protection hidden="1"/>
    </xf>
    <xf numFmtId="0" fontId="9" fillId="0" borderId="10" xfId="36" applyBorder="1" applyAlignment="1" applyProtection="1">
      <alignment vertical="center" wrapText="1"/>
    </xf>
    <xf numFmtId="0" fontId="17" fillId="2" borderId="13" xfId="0" applyFont="1" applyFill="1" applyBorder="1" applyAlignment="1" applyProtection="1">
      <alignment horizontal="left" vertical="center" wrapText="1"/>
      <protection locked="0"/>
    </xf>
    <xf numFmtId="0" fontId="39"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40" fillId="0" borderId="0" xfId="0" applyFont="1" applyFill="1" applyProtection="1">
      <protection hidden="1"/>
    </xf>
    <xf numFmtId="0" fontId="8" fillId="0" borderId="0" xfId="0" applyFont="1" applyFill="1" applyBorder="1"/>
    <xf numFmtId="0" fontId="0" fillId="0" borderId="0" xfId="0" applyFont="1" applyFill="1" applyBorder="1"/>
    <xf numFmtId="0" fontId="4" fillId="0" borderId="28" xfId="0" applyNumberFormat="1" applyFont="1" applyFill="1" applyBorder="1" applyAlignment="1" applyProtection="1">
      <alignment vertical="center" wrapText="1"/>
      <protection hidden="1"/>
    </xf>
    <xf numFmtId="0" fontId="25" fillId="0" borderId="28" xfId="36" applyFont="1" applyBorder="1" applyAlignment="1" applyProtection="1">
      <alignment horizontal="center"/>
      <protection hidden="1"/>
    </xf>
    <xf numFmtId="0" fontId="4" fillId="0" borderId="29" xfId="0" applyNumberFormat="1" applyFont="1" applyFill="1" applyBorder="1" applyAlignment="1" applyProtection="1">
      <alignment vertical="center" wrapText="1"/>
      <protection hidden="1"/>
    </xf>
    <xf numFmtId="0" fontId="37" fillId="0" borderId="28" xfId="0" applyNumberFormat="1" applyFont="1" applyFill="1" applyBorder="1" applyAlignment="1" applyProtection="1">
      <alignment vertical="center" wrapText="1"/>
      <protection hidden="1"/>
    </xf>
    <xf numFmtId="0" fontId="5" fillId="4" borderId="28" xfId="0" applyFont="1" applyFill="1" applyBorder="1" applyAlignment="1" applyProtection="1">
      <alignment wrapText="1"/>
      <protection hidden="1"/>
    </xf>
    <xf numFmtId="0" fontId="5" fillId="4" borderId="28"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8" fillId="0" borderId="0" xfId="0" applyFont="1" applyFill="1" applyProtection="1"/>
    <xf numFmtId="0" fontId="8" fillId="0" borderId="0" xfId="0" applyFont="1" applyFill="1" applyAlignment="1" applyProtection="1">
      <alignment wrapText="1"/>
    </xf>
    <xf numFmtId="0" fontId="0" fillId="0" borderId="0" xfId="0" applyFill="1" applyAlignment="1" applyProtection="1">
      <alignment vertical="top"/>
    </xf>
    <xf numFmtId="0" fontId="33" fillId="0" borderId="0" xfId="0" applyFont="1" applyFill="1" applyAlignment="1" applyProtection="1">
      <alignment horizontal="center" wrapText="1"/>
    </xf>
    <xf numFmtId="0" fontId="5" fillId="0" borderId="6" xfId="0" applyFont="1" applyFill="1" applyBorder="1" applyAlignment="1" applyProtection="1">
      <alignment wrapText="1"/>
    </xf>
    <xf numFmtId="0" fontId="0" fillId="0" borderId="0" xfId="0" applyFill="1" applyAlignment="1" applyProtection="1">
      <alignment vertical="top" wrapText="1"/>
    </xf>
    <xf numFmtId="0" fontId="5" fillId="0" borderId="6"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33" fillId="0" borderId="6" xfId="0" applyFont="1" applyFill="1" applyBorder="1" applyAlignment="1" applyProtection="1">
      <alignment wrapText="1"/>
    </xf>
    <xf numFmtId="0" fontId="36" fillId="0" borderId="0" xfId="0" applyFont="1" applyFill="1" applyBorder="1" applyAlignment="1" applyProtection="1">
      <alignment horizontal="right" wrapText="1"/>
    </xf>
    <xf numFmtId="0" fontId="0" fillId="3" borderId="10" xfId="0" applyFill="1" applyBorder="1"/>
    <xf numFmtId="0" fontId="38" fillId="2" borderId="5" xfId="0" applyFont="1" applyFill="1" applyBorder="1" applyAlignment="1" applyProtection="1">
      <alignment horizontal="center" vertical="center" wrapText="1"/>
      <protection hidden="1"/>
    </xf>
    <xf numFmtId="0" fontId="42" fillId="3" borderId="10" xfId="0" applyFont="1" applyFill="1" applyBorder="1"/>
    <xf numFmtId="0" fontId="13" fillId="2" borderId="30" xfId="0" applyFont="1" applyFill="1" applyBorder="1" applyAlignment="1" applyProtection="1">
      <alignment vertical="center"/>
      <protection hidden="1"/>
    </xf>
    <xf numFmtId="0" fontId="0" fillId="0" borderId="0" xfId="0" applyBorder="1" applyProtection="1">
      <protection hidden="1"/>
    </xf>
    <xf numFmtId="0" fontId="44" fillId="0" borderId="0" xfId="0" applyFont="1" applyAlignment="1" applyProtection="1">
      <alignment horizontal="center" wrapText="1"/>
      <protection hidden="1"/>
    </xf>
    <xf numFmtId="0" fontId="13" fillId="2" borderId="0" xfId="0" applyFont="1" applyFill="1" applyBorder="1" applyAlignment="1" applyProtection="1">
      <alignment horizontal="center" vertical="center" wrapText="1"/>
      <protection hidden="1"/>
    </xf>
    <xf numFmtId="49" fontId="17" fillId="2" borderId="31" xfId="0" applyNumberFormat="1" applyFont="1" applyFill="1" applyBorder="1" applyAlignment="1" applyProtection="1">
      <alignment horizontal="left" vertical="center" wrapText="1"/>
      <protection locked="0"/>
    </xf>
    <xf numFmtId="1" fontId="8" fillId="0" borderId="0" xfId="0" applyNumberFormat="1" applyFont="1" applyFill="1" applyProtection="1">
      <protection hidden="1"/>
    </xf>
    <xf numFmtId="0" fontId="9" fillId="0" borderId="0" xfId="36" applyFill="1" applyAlignment="1" applyProtection="1">
      <alignment horizontal="center"/>
      <protection hidden="1"/>
    </xf>
    <xf numFmtId="0" fontId="45" fillId="2" borderId="24" xfId="36" applyFont="1" applyFill="1" applyBorder="1" applyAlignment="1" applyProtection="1">
      <alignment horizontal="left" vertical="center"/>
      <protection hidden="1"/>
    </xf>
    <xf numFmtId="0" fontId="46" fillId="2" borderId="0" xfId="36" applyFont="1" applyFill="1" applyAlignment="1" applyProtection="1">
      <alignment vertical="center"/>
    </xf>
    <xf numFmtId="0" fontId="46" fillId="2" borderId="0" xfId="36" applyFont="1" applyFill="1" applyBorder="1" applyAlignment="1" applyProtection="1">
      <alignment horizontal="center" vertical="center"/>
      <protection hidden="1"/>
    </xf>
    <xf numFmtId="0" fontId="47" fillId="0" borderId="18" xfId="36" applyFont="1" applyFill="1" applyBorder="1" applyAlignment="1" applyProtection="1">
      <alignment horizontal="center"/>
      <protection hidden="1"/>
    </xf>
    <xf numFmtId="0" fontId="48" fillId="2" borderId="0" xfId="36" applyFont="1" applyFill="1" applyBorder="1" applyAlignment="1" applyProtection="1">
      <alignment horizontal="center" vertical="center"/>
      <protection hidden="1"/>
    </xf>
    <xf numFmtId="0" fontId="49" fillId="2" borderId="32" xfId="0" applyFont="1" applyFill="1" applyBorder="1" applyAlignment="1" applyProtection="1">
      <alignment horizontal="center" vertical="center" wrapText="1"/>
      <protection hidden="1"/>
    </xf>
    <xf numFmtId="0" fontId="49" fillId="2" borderId="0" xfId="0" applyFont="1" applyFill="1" applyBorder="1" applyAlignment="1" applyProtection="1">
      <alignment horizontal="center" vertical="center" wrapText="1"/>
      <protection hidden="1"/>
    </xf>
    <xf numFmtId="0" fontId="50" fillId="2" borderId="0" xfId="0" applyFont="1" applyFill="1" applyBorder="1" applyAlignment="1" applyProtection="1">
      <alignment horizontal="center" vertical="center"/>
      <protection hidden="1"/>
    </xf>
    <xf numFmtId="0" fontId="13" fillId="2" borderId="33" xfId="0" applyFont="1" applyFill="1" applyBorder="1" applyAlignment="1" applyProtection="1">
      <alignment vertical="center" wrapText="1"/>
      <protection locked="0"/>
    </xf>
    <xf numFmtId="0" fontId="13" fillId="2" borderId="34" xfId="0" applyFont="1" applyFill="1" applyBorder="1" applyAlignment="1" applyProtection="1">
      <alignment vertical="center" wrapText="1"/>
      <protection locked="0"/>
    </xf>
    <xf numFmtId="0" fontId="13" fillId="2" borderId="23" xfId="0" applyFont="1" applyFill="1" applyBorder="1" applyAlignment="1" applyProtection="1">
      <alignment vertical="center" wrapText="1"/>
      <protection locked="0"/>
    </xf>
    <xf numFmtId="0" fontId="16" fillId="2" borderId="6" xfId="0" applyFont="1" applyFill="1" applyBorder="1" applyAlignment="1" applyProtection="1">
      <alignment horizontal="center" wrapText="1"/>
      <protection locked="0"/>
    </xf>
    <xf numFmtId="0" fontId="16" fillId="2" borderId="18" xfId="0" applyFont="1" applyFill="1" applyBorder="1" applyAlignment="1" applyProtection="1">
      <alignment horizontal="left" vertical="center" wrapText="1"/>
      <protection hidden="1"/>
    </xf>
    <xf numFmtId="0" fontId="13" fillId="2" borderId="18" xfId="0" applyFont="1" applyFill="1" applyBorder="1" applyAlignment="1" applyProtection="1">
      <protection hidden="1"/>
    </xf>
    <xf numFmtId="0" fontId="16" fillId="2" borderId="35" xfId="0" applyFont="1" applyFill="1" applyBorder="1" applyAlignment="1" applyProtection="1">
      <alignment horizontal="center" wrapText="1"/>
      <protection hidden="1"/>
    </xf>
    <xf numFmtId="0" fontId="13" fillId="2" borderId="32" xfId="0" applyFont="1" applyFill="1" applyBorder="1" applyAlignment="1" applyProtection="1">
      <alignment vertical="center"/>
      <protection hidden="1"/>
    </xf>
    <xf numFmtId="0" fontId="58" fillId="2" borderId="6" xfId="0" applyFont="1" applyFill="1" applyBorder="1" applyAlignment="1" applyProtection="1">
      <alignment vertical="top" wrapText="1"/>
    </xf>
    <xf numFmtId="0" fontId="20" fillId="2" borderId="20" xfId="0" applyFont="1" applyFill="1" applyBorder="1" applyAlignment="1" applyProtection="1">
      <alignment horizontal="right" wrapText="1"/>
      <protection hidden="1"/>
    </xf>
    <xf numFmtId="0" fontId="14" fillId="2" borderId="36" xfId="0" applyFont="1" applyFill="1" applyBorder="1" applyAlignment="1" applyProtection="1">
      <alignment vertical="center" wrapText="1"/>
    </xf>
    <xf numFmtId="0" fontId="4" fillId="2" borderId="13" xfId="0" applyFont="1" applyFill="1" applyBorder="1" applyAlignment="1" applyProtection="1">
      <alignment horizontal="left" wrapText="1"/>
      <protection hidden="1"/>
    </xf>
    <xf numFmtId="0" fontId="57" fillId="0" borderId="0" xfId="0" applyFont="1" applyFill="1" applyBorder="1" applyAlignment="1" applyProtection="1">
      <alignment horizontal="right" wrapText="1"/>
      <protection hidden="1"/>
    </xf>
    <xf numFmtId="0" fontId="4" fillId="0" borderId="37" xfId="0" applyFont="1" applyFill="1" applyBorder="1" applyAlignment="1" applyProtection="1">
      <alignment horizontal="center"/>
      <protection hidden="1"/>
    </xf>
    <xf numFmtId="0" fontId="16" fillId="2" borderId="30" xfId="0" applyFont="1" applyFill="1" applyBorder="1" applyAlignment="1" applyProtection="1">
      <alignment horizontal="center" vertical="center"/>
      <protection hidden="1"/>
    </xf>
    <xf numFmtId="0" fontId="0" fillId="0" borderId="10" xfId="0" applyBorder="1" applyAlignment="1" applyProtection="1">
      <alignment horizontal="right" vertical="center" wrapText="1"/>
      <protection hidden="1"/>
    </xf>
    <xf numFmtId="0" fontId="42" fillId="0" borderId="0" xfId="0" applyFont="1" applyProtection="1">
      <protection hidden="1"/>
    </xf>
    <xf numFmtId="2" fontId="28" fillId="2" borderId="2" xfId="115" applyNumberFormat="1" applyFont="1" applyFill="1" applyBorder="1" applyAlignment="1">
      <alignment horizontal="center" vertical="top" wrapText="1"/>
    </xf>
    <xf numFmtId="0" fontId="28" fillId="2" borderId="9" xfId="115" applyFont="1" applyFill="1" applyBorder="1" applyAlignment="1">
      <alignment horizontal="center" vertical="top" wrapText="1"/>
    </xf>
    <xf numFmtId="0" fontId="59" fillId="0" borderId="0" xfId="0" applyFont="1" applyFill="1" applyAlignment="1">
      <alignment vertical="top" wrapText="1"/>
    </xf>
    <xf numFmtId="0" fontId="0" fillId="0" borderId="0" xfId="0" applyFont="1" applyFill="1" applyAlignment="1">
      <alignment vertical="top" wrapText="1"/>
    </xf>
    <xf numFmtId="0" fontId="54" fillId="0" borderId="0" xfId="0" applyFont="1" applyFill="1" applyAlignment="1">
      <alignment vertical="top" wrapText="1"/>
    </xf>
    <xf numFmtId="0" fontId="54" fillId="0" borderId="0" xfId="73" applyFont="1" applyFill="1" applyAlignment="1">
      <alignment vertical="top" wrapText="1"/>
    </xf>
    <xf numFmtId="0" fontId="0" fillId="0" borderId="0" xfId="0" applyFont="1" applyFill="1" applyAlignment="1">
      <alignment horizontal="left" vertical="top" wrapText="1"/>
    </xf>
    <xf numFmtId="0" fontId="16" fillId="2" borderId="0" xfId="0" applyFont="1" applyFill="1" applyBorder="1" applyAlignment="1" applyProtection="1">
      <alignment horizontal="center" vertical="center" wrapText="1"/>
      <protection hidden="1"/>
    </xf>
    <xf numFmtId="0" fontId="16" fillId="2" borderId="35" xfId="0" applyFont="1" applyFill="1" applyBorder="1" applyAlignment="1" applyProtection="1">
      <alignment horizontal="center" vertical="center" wrapText="1"/>
      <protection hidden="1"/>
    </xf>
    <xf numFmtId="0" fontId="16" fillId="2" borderId="38" xfId="0" applyFont="1" applyFill="1" applyBorder="1" applyAlignment="1" applyProtection="1">
      <alignment horizontal="center" vertical="center" wrapText="1"/>
      <protection hidden="1"/>
    </xf>
    <xf numFmtId="0" fontId="6" fillId="0" borderId="0" xfId="0" applyFont="1" applyFill="1" applyAlignment="1">
      <alignment horizontal="center"/>
    </xf>
    <xf numFmtId="0" fontId="4" fillId="0" borderId="28" xfId="0" applyNumberFormat="1" applyFont="1" applyFill="1" applyBorder="1" applyAlignment="1" applyProtection="1">
      <alignment vertical="top" wrapText="1"/>
      <protection hidden="1"/>
    </xf>
    <xf numFmtId="0" fontId="0" fillId="0" borderId="0" xfId="0" applyFill="1" applyAlignment="1" applyProtection="1">
      <alignment wrapText="1"/>
    </xf>
    <xf numFmtId="0" fontId="0" fillId="0" borderId="0" xfId="0" applyProtection="1"/>
    <xf numFmtId="0" fontId="6" fillId="2" borderId="39" xfId="0" applyFont="1" applyFill="1" applyBorder="1" applyAlignment="1" applyProtection="1">
      <alignment horizontal="center" wrapText="1"/>
    </xf>
    <xf numFmtId="0" fontId="13" fillId="2" borderId="40" xfId="0" applyFont="1" applyFill="1" applyBorder="1" applyAlignment="1" applyProtection="1">
      <alignment vertical="center"/>
    </xf>
    <xf numFmtId="0" fontId="64" fillId="0" borderId="0" xfId="0" applyFont="1" applyFill="1" applyAlignment="1" applyProtection="1">
      <alignment horizontal="center" vertical="center" wrapText="1"/>
      <protection hidden="1"/>
    </xf>
    <xf numFmtId="0" fontId="102" fillId="0" borderId="0" xfId="0" applyFont="1" applyFill="1" applyAlignment="1">
      <alignment vertical="top" wrapText="1"/>
    </xf>
    <xf numFmtId="0" fontId="0" fillId="0" borderId="0" xfId="0" applyAlignment="1" applyProtection="1">
      <protection hidden="1"/>
    </xf>
    <xf numFmtId="0" fontId="53" fillId="0" borderId="0" xfId="0" applyFont="1" applyAlignment="1"/>
    <xf numFmtId="0" fontId="0" fillId="36" borderId="0" xfId="0" applyFill="1" applyProtection="1">
      <protection hidden="1"/>
    </xf>
    <xf numFmtId="0" fontId="28" fillId="0" borderId="10" xfId="0" applyFont="1" applyBorder="1" applyAlignment="1">
      <alignment vertical="top" wrapText="1"/>
    </xf>
    <xf numFmtId="166" fontId="28" fillId="2" borderId="2" xfId="115" applyNumberFormat="1" applyFont="1" applyFill="1" applyBorder="1" applyAlignment="1">
      <alignment horizontal="center" vertical="top" wrapText="1"/>
    </xf>
    <xf numFmtId="1" fontId="44" fillId="0" borderId="0" xfId="0" applyNumberFormat="1" applyFont="1" applyFill="1" applyAlignment="1" applyProtection="1">
      <alignment horizontal="center" vertical="center" wrapText="1"/>
      <protection hidden="1"/>
    </xf>
    <xf numFmtId="0" fontId="42" fillId="0" borderId="0" xfId="0" applyFont="1" applyFill="1" applyAlignment="1" applyProtection="1">
      <alignment horizontal="center" vertical="center" wrapText="1"/>
      <protection hidden="1"/>
    </xf>
    <xf numFmtId="0" fontId="0" fillId="0" borderId="41" xfId="0" applyFill="1" applyBorder="1"/>
    <xf numFmtId="0" fontId="103" fillId="37" borderId="0" xfId="0" applyFont="1" applyFill="1" applyProtection="1">
      <protection hidden="1"/>
    </xf>
    <xf numFmtId="0" fontId="0" fillId="38" borderId="10" xfId="0" applyFill="1" applyBorder="1" applyAlignment="1" applyProtection="1">
      <alignment horizontal="left" vertical="center"/>
      <protection hidden="1"/>
    </xf>
    <xf numFmtId="0" fontId="0" fillId="38" borderId="10" xfId="0" applyFill="1" applyBorder="1" applyAlignment="1" applyProtection="1">
      <alignment horizontal="left" vertical="center" wrapText="1"/>
      <protection hidden="1"/>
    </xf>
    <xf numFmtId="0" fontId="0" fillId="0" borderId="0" xfId="0" applyFont="1" applyFill="1" applyAlignment="1">
      <alignment vertical="top"/>
    </xf>
    <xf numFmtId="0" fontId="59" fillId="0" borderId="0" xfId="0" applyFont="1" applyFill="1" applyBorder="1" applyAlignment="1">
      <alignment vertical="top" wrapText="1"/>
    </xf>
    <xf numFmtId="0" fontId="4" fillId="36" borderId="28" xfId="0" applyNumberFormat="1" applyFont="1" applyFill="1" applyBorder="1" applyAlignment="1" applyProtection="1">
      <alignment vertical="center" wrapText="1"/>
      <protection hidden="1"/>
    </xf>
    <xf numFmtId="0" fontId="0" fillId="0" borderId="0" xfId="0" applyProtection="1">
      <protection locked="0"/>
    </xf>
    <xf numFmtId="0" fontId="13" fillId="2" borderId="42" xfId="0" applyFont="1" applyFill="1" applyBorder="1" applyAlignment="1" applyProtection="1">
      <alignment horizontal="center" vertical="center" wrapText="1"/>
      <protection hidden="1"/>
    </xf>
    <xf numFmtId="0" fontId="13" fillId="2" borderId="43" xfId="0" applyFont="1" applyFill="1" applyBorder="1" applyAlignment="1" applyProtection="1">
      <alignment horizontal="center" vertical="center" wrapText="1"/>
      <protection hidden="1"/>
    </xf>
    <xf numFmtId="0" fontId="6" fillId="0" borderId="0" xfId="0" applyFont="1" applyFill="1" applyAlignment="1">
      <alignment wrapText="1"/>
    </xf>
    <xf numFmtId="0" fontId="32" fillId="0" borderId="0" xfId="0" applyFont="1" applyFill="1" applyBorder="1" applyAlignment="1" applyProtection="1">
      <alignment vertical="center"/>
      <protection locked="0"/>
    </xf>
    <xf numFmtId="0" fontId="0" fillId="3" borderId="0" xfId="0" applyFill="1" applyProtection="1">
      <protection locked="0"/>
    </xf>
    <xf numFmtId="0" fontId="0" fillId="0" borderId="0" xfId="0" applyFill="1" applyProtection="1">
      <protection locked="0"/>
    </xf>
    <xf numFmtId="0" fontId="0" fillId="2" borderId="44" xfId="0" applyFill="1" applyBorder="1" applyAlignment="1" applyProtection="1">
      <alignment wrapText="1"/>
      <protection hidden="1"/>
    </xf>
    <xf numFmtId="0" fontId="0" fillId="0" borderId="0" xfId="0" applyFill="1" applyAlignment="1" applyProtection="1">
      <alignment wrapText="1"/>
      <protection hidden="1"/>
    </xf>
    <xf numFmtId="0" fontId="8" fillId="0" borderId="0" xfId="0" applyFont="1" applyFill="1" applyAlignment="1" applyProtection="1">
      <alignment wrapText="1"/>
      <protection hidden="1"/>
    </xf>
    <xf numFmtId="0" fontId="8" fillId="0" borderId="0" xfId="0" applyFont="1" applyFill="1" applyAlignment="1" applyProtection="1">
      <protection hidden="1"/>
    </xf>
    <xf numFmtId="0" fontId="0" fillId="3" borderId="0" xfId="0" applyFill="1" applyAlignment="1" applyProtection="1">
      <alignment wrapText="1"/>
      <protection hidden="1"/>
    </xf>
    <xf numFmtId="0" fontId="13" fillId="0" borderId="0" xfId="0" applyFont="1" applyFill="1" applyBorder="1" applyAlignment="1" applyProtection="1">
      <alignment horizontal="center" vertical="center"/>
      <protection hidden="1"/>
    </xf>
    <xf numFmtId="0" fontId="8" fillId="0" borderId="0" xfId="0" applyFont="1" applyFill="1" applyAlignment="1" applyProtection="1">
      <alignment horizontal="center" vertical="center" wrapText="1"/>
      <protection hidden="1"/>
    </xf>
    <xf numFmtId="0" fontId="0" fillId="0" borderId="0" xfId="0" applyAlignment="1" applyProtection="1">
      <alignment horizontal="center" vertical="center"/>
      <protection hidden="1"/>
    </xf>
    <xf numFmtId="0" fontId="0" fillId="2" borderId="45" xfId="0" applyFill="1" applyBorder="1" applyAlignment="1" applyProtection="1">
      <alignment wrapText="1"/>
    </xf>
    <xf numFmtId="0" fontId="6" fillId="0" borderId="0" xfId="0" applyFont="1" applyFill="1" applyProtection="1">
      <protection hidden="1"/>
    </xf>
    <xf numFmtId="0" fontId="6" fillId="0" borderId="0" xfId="0" applyFont="1" applyFill="1" applyAlignment="1" applyProtection="1">
      <alignment wrapText="1"/>
      <protection hidden="1"/>
    </xf>
    <xf numFmtId="2" fontId="28" fillId="2" borderId="10" xfId="115" applyNumberFormat="1" applyFont="1" applyFill="1" applyBorder="1" applyAlignment="1">
      <alignment horizontal="center" vertical="top" wrapText="1"/>
    </xf>
    <xf numFmtId="164" fontId="28" fillId="2" borderId="10" xfId="115" applyNumberFormat="1" applyFont="1" applyFill="1" applyBorder="1" applyAlignment="1">
      <alignment horizontal="center" vertical="top" wrapText="1"/>
    </xf>
    <xf numFmtId="49" fontId="6" fillId="0" borderId="0" xfId="0" applyNumberFormat="1" applyFont="1" applyFill="1" applyBorder="1" applyAlignment="1" applyProtection="1"/>
    <xf numFmtId="0" fontId="104" fillId="36" borderId="10" xfId="0" applyFont="1" applyFill="1" applyBorder="1" applyAlignment="1" applyProtection="1">
      <alignment horizontal="left" vertical="center" wrapText="1"/>
      <protection hidden="1"/>
    </xf>
    <xf numFmtId="0" fontId="0" fillId="0" borderId="0" xfId="0" applyFill="1" applyAlignment="1">
      <alignment vertical="top" wrapText="1"/>
    </xf>
    <xf numFmtId="0" fontId="69" fillId="0" borderId="0" xfId="0" applyFont="1" applyFill="1" applyAlignment="1">
      <alignment vertical="top" wrapText="1"/>
    </xf>
    <xf numFmtId="0" fontId="70" fillId="0" borderId="0" xfId="0" applyFont="1" applyFill="1" applyAlignment="1">
      <alignment vertical="top" wrapText="1"/>
    </xf>
    <xf numFmtId="0" fontId="5" fillId="0" borderId="28" xfId="0" applyNumberFormat="1" applyFont="1" applyFill="1" applyBorder="1" applyAlignment="1" applyProtection="1">
      <alignment vertical="center" wrapText="1"/>
      <protection hidden="1"/>
    </xf>
    <xf numFmtId="0" fontId="28" fillId="2" borderId="9" xfId="115" applyFont="1" applyFill="1" applyBorder="1" applyAlignment="1">
      <alignment vertical="center" wrapText="1"/>
    </xf>
    <xf numFmtId="0" fontId="28" fillId="2" borderId="46" xfId="115" applyFont="1" applyFill="1" applyBorder="1" applyAlignment="1">
      <alignment vertical="top" wrapText="1"/>
    </xf>
    <xf numFmtId="0" fontId="28" fillId="2" borderId="47" xfId="115" applyFont="1" applyFill="1" applyBorder="1" applyAlignment="1">
      <alignment vertical="top" wrapText="1"/>
    </xf>
    <xf numFmtId="0" fontId="6" fillId="0" borderId="2" xfId="0" applyFont="1" applyFill="1" applyBorder="1" applyAlignment="1" applyProtection="1">
      <alignment wrapText="1"/>
    </xf>
    <xf numFmtId="0" fontId="28" fillId="2" borderId="9" xfId="115" applyFont="1" applyFill="1" applyBorder="1" applyAlignment="1">
      <alignment horizontal="left" vertical="top" wrapText="1"/>
    </xf>
    <xf numFmtId="0" fontId="6" fillId="0" borderId="9" xfId="0" applyFont="1" applyFill="1" applyBorder="1" applyAlignment="1" applyProtection="1">
      <alignment vertical="top" wrapText="1"/>
    </xf>
    <xf numFmtId="0" fontId="28" fillId="2" borderId="10" xfId="115" applyFont="1" applyFill="1" applyBorder="1" applyAlignment="1">
      <alignment vertical="top" wrapText="1"/>
    </xf>
    <xf numFmtId="0" fontId="51" fillId="2" borderId="48" xfId="0" applyFont="1" applyFill="1" applyBorder="1" applyAlignment="1" applyProtection="1">
      <alignment horizontal="center" vertical="center" wrapText="1"/>
      <protection hidden="1"/>
    </xf>
    <xf numFmtId="0" fontId="51" fillId="0" borderId="49" xfId="0" applyFont="1" applyBorder="1" applyAlignment="1" applyProtection="1">
      <alignment horizontal="center" vertical="center" wrapText="1"/>
      <protection hidden="1"/>
    </xf>
    <xf numFmtId="0" fontId="39" fillId="0" borderId="50" xfId="0" applyFont="1" applyBorder="1" applyAlignment="1" applyProtection="1">
      <alignment vertical="center" wrapText="1"/>
      <protection hidden="1"/>
    </xf>
    <xf numFmtId="0" fontId="59" fillId="0" borderId="0" xfId="0" applyFont="1" applyFill="1" applyAlignment="1">
      <alignment horizontal="left" vertical="top" wrapText="1"/>
    </xf>
    <xf numFmtId="0" fontId="54" fillId="0" borderId="0" xfId="73" applyNumberFormat="1" applyFont="1" applyFill="1" applyBorder="1" applyAlignment="1" applyProtection="1">
      <alignment vertical="top" wrapText="1"/>
      <protection hidden="1"/>
    </xf>
    <xf numFmtId="0" fontId="54" fillId="0" borderId="0" xfId="73" applyFont="1" applyFill="1" applyBorder="1" applyAlignment="1">
      <alignment vertical="top" wrapText="1"/>
    </xf>
    <xf numFmtId="0" fontId="105" fillId="0" borderId="0" xfId="0" applyFont="1" applyFill="1" applyAlignment="1">
      <alignment vertical="top" wrapText="1"/>
    </xf>
    <xf numFmtId="0" fontId="53" fillId="0" borderId="0" xfId="73" applyFont="1" applyFill="1" applyBorder="1" applyAlignment="1">
      <alignment vertical="top" wrapText="1"/>
    </xf>
    <xf numFmtId="0" fontId="54" fillId="0" borderId="0" xfId="25" applyNumberFormat="1" applyFont="1" applyFill="1" applyBorder="1" applyAlignment="1" applyProtection="1">
      <alignment vertical="top" wrapText="1"/>
      <protection hidden="1"/>
    </xf>
    <xf numFmtId="0" fontId="56" fillId="0" borderId="0" xfId="73" applyNumberFormat="1" applyFont="1" applyFill="1" applyBorder="1" applyAlignment="1" applyProtection="1">
      <alignment vertical="top" wrapText="1"/>
      <protection hidden="1"/>
    </xf>
    <xf numFmtId="0" fontId="59" fillId="0" borderId="0" xfId="0" applyFont="1" applyFill="1" applyAlignment="1">
      <alignment wrapText="1"/>
    </xf>
    <xf numFmtId="0" fontId="54" fillId="0" borderId="0" xfId="73" applyFont="1" applyFill="1" applyAlignment="1">
      <alignment horizontal="left" vertical="top" wrapText="1"/>
    </xf>
    <xf numFmtId="0" fontId="53" fillId="0" borderId="0" xfId="0" applyFont="1" applyFill="1" applyAlignment="1">
      <alignment vertical="top" wrapText="1"/>
    </xf>
    <xf numFmtId="0" fontId="54" fillId="0" borderId="0" xfId="0" applyFont="1" applyFill="1" applyAlignment="1">
      <alignment wrapText="1"/>
    </xf>
    <xf numFmtId="0" fontId="54" fillId="0" borderId="0" xfId="0" applyNumberFormat="1" applyFont="1" applyFill="1" applyAlignment="1">
      <alignment vertical="top" wrapText="1"/>
    </xf>
    <xf numFmtId="0" fontId="62" fillId="0" borderId="0" xfId="0" applyFont="1" applyFill="1" applyAlignment="1">
      <alignment vertical="top" wrapText="1"/>
    </xf>
    <xf numFmtId="0" fontId="63" fillId="0" borderId="0" xfId="0" applyFont="1" applyFill="1" applyAlignment="1">
      <alignment vertical="top" wrapText="1"/>
    </xf>
    <xf numFmtId="0" fontId="0" fillId="0" borderId="0" xfId="0" applyFill="1" applyAlignment="1">
      <alignment wrapText="1"/>
    </xf>
    <xf numFmtId="0" fontId="59" fillId="0" borderId="0" xfId="0" applyFont="1" applyFill="1" applyAlignment="1" applyProtection="1">
      <alignment horizontal="left" vertical="top" wrapText="1"/>
    </xf>
    <xf numFmtId="0" fontId="97" fillId="0" borderId="0" xfId="51" applyFont="1" applyFill="1" applyAlignment="1">
      <alignment vertical="center" wrapText="1"/>
    </xf>
    <xf numFmtId="0" fontId="59" fillId="0" borderId="0" xfId="0" applyFont="1" applyFill="1" applyAlignment="1">
      <alignment horizontal="left" wrapText="1"/>
    </xf>
    <xf numFmtId="0" fontId="68" fillId="0" borderId="0" xfId="0" applyFont="1" applyFill="1" applyAlignment="1">
      <alignment horizontal="left" vertical="center" wrapText="1"/>
    </xf>
    <xf numFmtId="0" fontId="59" fillId="0" borderId="0" xfId="0" applyFont="1" applyFill="1" applyAlignment="1" applyProtection="1">
      <alignment wrapText="1"/>
      <protection hidden="1"/>
    </xf>
    <xf numFmtId="0" fontId="56" fillId="0" borderId="0" xfId="0" applyFont="1" applyFill="1" applyAlignment="1">
      <alignment vertical="center" wrapText="1"/>
    </xf>
    <xf numFmtId="0" fontId="59" fillId="0" borderId="0" xfId="0" applyFont="1" applyFill="1" applyAlignment="1" applyProtection="1">
      <alignment horizontal="left" wrapText="1"/>
      <protection hidden="1"/>
    </xf>
    <xf numFmtId="0" fontId="0" fillId="0" borderId="0" xfId="133" applyFont="1" applyFill="1" applyAlignment="1" applyProtection="1"/>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11" fillId="2" borderId="0" xfId="0" applyNumberFormat="1" applyFont="1" applyFill="1" applyBorder="1"/>
    <xf numFmtId="164" fontId="16" fillId="2" borderId="0" xfId="0" applyNumberFormat="1" applyFont="1" applyFill="1" applyBorder="1" applyAlignment="1">
      <alignment horizontal="center" vertical="center" wrapText="1"/>
    </xf>
    <xf numFmtId="164" fontId="13" fillId="2" borderId="0" xfId="0" applyNumberFormat="1" applyFont="1" applyFill="1" applyBorder="1" applyAlignment="1">
      <alignment horizontal="center" vertical="center"/>
    </xf>
    <xf numFmtId="164" fontId="0" fillId="2" borderId="0" xfId="0" applyNumberFormat="1" applyFont="1" applyFill="1" applyBorder="1"/>
    <xf numFmtId="164" fontId="30" fillId="2" borderId="11" xfId="115"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hidden="1"/>
    </xf>
    <xf numFmtId="0" fontId="0" fillId="2" borderId="26" xfId="0" applyFont="1" applyFill="1" applyBorder="1" applyAlignment="1" applyProtection="1">
      <alignment horizontal="left" vertical="center" wrapText="1"/>
      <protection locked="0" hidden="1"/>
    </xf>
    <xf numFmtId="0" fontId="0" fillId="2" borderId="36" xfId="0" applyFont="1" applyFill="1" applyBorder="1" applyAlignment="1" applyProtection="1">
      <alignment horizontal="left" vertical="center" wrapText="1"/>
      <protection locked="0" hidden="1"/>
    </xf>
    <xf numFmtId="0" fontId="0" fillId="0" borderId="10" xfId="0" applyFont="1" applyBorder="1" applyAlignment="1" applyProtection="1">
      <alignment wrapText="1"/>
      <protection locked="0"/>
    </xf>
    <xf numFmtId="0" fontId="0" fillId="0" borderId="51" xfId="0" applyFont="1" applyBorder="1" applyAlignment="1" applyProtection="1">
      <alignment wrapText="1"/>
      <protection locked="0"/>
    </xf>
    <xf numFmtId="49" fontId="106" fillId="0" borderId="0" xfId="51" applyNumberFormat="1" applyFont="1" applyFill="1" applyBorder="1" applyAlignment="1" applyProtection="1"/>
    <xf numFmtId="0" fontId="0" fillId="0" borderId="10" xfId="0" applyFont="1" applyBorder="1" applyAlignment="1" applyProtection="1">
      <alignment vertical="center" wrapText="1"/>
      <protection locked="0" hidden="1"/>
    </xf>
    <xf numFmtId="0" fontId="6" fillId="2" borderId="39" xfId="0" applyFont="1" applyFill="1" applyBorder="1" applyAlignment="1" applyProtection="1">
      <alignment horizontal="center" wrapText="1"/>
      <protection locked="0" hidden="1"/>
    </xf>
    <xf numFmtId="0" fontId="16" fillId="2" borderId="32" xfId="0" applyFont="1" applyFill="1" applyBorder="1" applyAlignment="1" applyProtection="1">
      <alignment wrapText="1"/>
      <protection hidden="1"/>
    </xf>
    <xf numFmtId="0" fontId="46" fillId="2" borderId="0" xfId="36" applyFont="1" applyFill="1" applyBorder="1" applyAlignment="1" applyProtection="1">
      <alignment vertical="center" wrapText="1"/>
      <protection hidden="1"/>
    </xf>
    <xf numFmtId="0" fontId="14" fillId="0" borderId="50" xfId="0" applyFont="1" applyBorder="1" applyAlignment="1" applyProtection="1">
      <alignment vertical="center" wrapText="1"/>
      <protection hidden="1"/>
    </xf>
    <xf numFmtId="0" fontId="107" fillId="0" borderId="0" xfId="0" applyFont="1" applyFill="1" applyAlignment="1">
      <alignment vertical="center" wrapText="1"/>
    </xf>
    <xf numFmtId="0" fontId="108" fillId="0" borderId="0" xfId="0" applyFont="1" applyFill="1" applyAlignment="1">
      <alignment vertical="top" wrapText="1"/>
    </xf>
    <xf numFmtId="0" fontId="108" fillId="0" borderId="0" xfId="0" applyFont="1" applyFill="1"/>
    <xf numFmtId="0" fontId="107" fillId="0" borderId="0" xfId="0" applyFont="1" applyFill="1"/>
    <xf numFmtId="0" fontId="28" fillId="0" borderId="46" xfId="115" applyFont="1" applyFill="1" applyBorder="1" applyAlignment="1">
      <alignment horizontal="center" vertical="top" wrapText="1"/>
    </xf>
    <xf numFmtId="0" fontId="28" fillId="0" borderId="47" xfId="115" applyFont="1" applyFill="1" applyBorder="1" applyAlignment="1">
      <alignment horizontal="center" vertical="top" wrapText="1"/>
    </xf>
    <xf numFmtId="0" fontId="28" fillId="0" borderId="2" xfId="115" applyFont="1" applyFill="1" applyBorder="1" applyAlignment="1">
      <alignment horizontal="center" vertical="top" wrapText="1"/>
    </xf>
    <xf numFmtId="164" fontId="28" fillId="0" borderId="46" xfId="115" applyNumberFormat="1" applyFont="1" applyFill="1" applyBorder="1" applyAlignment="1">
      <alignment horizontal="center" vertical="top" wrapText="1"/>
    </xf>
    <xf numFmtId="164" fontId="28" fillId="0" borderId="47" xfId="115" applyNumberFormat="1" applyFont="1" applyFill="1" applyBorder="1" applyAlignment="1">
      <alignment horizontal="center" vertical="top" wrapText="1"/>
    </xf>
    <xf numFmtId="164" fontId="28" fillId="0" borderId="2" xfId="115" applyNumberFormat="1" applyFont="1" applyFill="1" applyBorder="1" applyAlignment="1">
      <alignment horizontal="center" vertical="top" wrapText="1"/>
    </xf>
    <xf numFmtId="0" fontId="28" fillId="2" borderId="46" xfId="115" applyFont="1" applyFill="1" applyBorder="1" applyAlignment="1">
      <alignment horizontal="left" vertical="top" wrapText="1"/>
    </xf>
    <xf numFmtId="0" fontId="28" fillId="2" borderId="47" xfId="115" applyFont="1" applyFill="1" applyBorder="1" applyAlignment="1">
      <alignment horizontal="left" vertical="top" wrapText="1"/>
    </xf>
    <xf numFmtId="0" fontId="28" fillId="2" borderId="2" xfId="115" applyFont="1" applyFill="1" applyBorder="1" applyAlignment="1">
      <alignment horizontal="left" vertical="top" wrapText="1"/>
    </xf>
    <xf numFmtId="0" fontId="14" fillId="2" borderId="6"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6" fillId="2" borderId="41" xfId="0" applyFont="1" applyFill="1" applyBorder="1" applyAlignment="1">
      <alignment horizontal="center"/>
    </xf>
    <xf numFmtId="0" fontId="11" fillId="2" borderId="0" xfId="0" applyFont="1" applyFill="1" applyBorder="1" applyAlignment="1">
      <alignment horizontal="center"/>
    </xf>
    <xf numFmtId="0" fontId="29" fillId="2" borderId="0"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8" fillId="2" borderId="46" xfId="115" applyFont="1" applyFill="1" applyBorder="1" applyAlignment="1">
      <alignment horizontal="center" vertical="top" wrapText="1"/>
    </xf>
    <xf numFmtId="0" fontId="28" fillId="2" borderId="47" xfId="115" applyFont="1" applyFill="1" applyBorder="1" applyAlignment="1">
      <alignment horizontal="center" vertical="top" wrapText="1"/>
    </xf>
    <xf numFmtId="0" fontId="28" fillId="2" borderId="2" xfId="115" applyFont="1" applyFill="1" applyBorder="1" applyAlignment="1">
      <alignment horizontal="center" vertical="top" wrapText="1"/>
    </xf>
    <xf numFmtId="164" fontId="28" fillId="2" borderId="46" xfId="115" applyNumberFormat="1" applyFont="1" applyFill="1" applyBorder="1" applyAlignment="1">
      <alignment horizontal="center" vertical="top" wrapText="1"/>
    </xf>
    <xf numFmtId="164" fontId="28" fillId="2" borderId="47" xfId="115" applyNumberFormat="1" applyFont="1" applyFill="1" applyBorder="1" applyAlignment="1">
      <alignment horizontal="center" vertical="top" wrapText="1"/>
    </xf>
    <xf numFmtId="164" fontId="28" fillId="2" borderId="2" xfId="115" applyNumberFormat="1" applyFont="1" applyFill="1" applyBorder="1" applyAlignment="1">
      <alignment horizontal="center" vertical="top" wrapText="1"/>
    </xf>
    <xf numFmtId="2" fontId="28" fillId="2" borderId="46" xfId="115" applyNumberFormat="1" applyFont="1" applyFill="1" applyBorder="1" applyAlignment="1">
      <alignment horizontal="center" vertical="top" wrapText="1"/>
    </xf>
    <xf numFmtId="2" fontId="28" fillId="2" borderId="47" xfId="115" applyNumberFormat="1" applyFont="1" applyFill="1" applyBorder="1" applyAlignment="1">
      <alignment horizontal="center" vertical="top" wrapText="1"/>
    </xf>
    <xf numFmtId="2" fontId="28" fillId="2" borderId="2" xfId="115" applyNumberFormat="1"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9" fillId="2" borderId="23" xfId="0" applyFont="1" applyFill="1" applyBorder="1" applyAlignment="1" applyProtection="1">
      <alignment horizontal="center" vertical="center"/>
      <protection hidden="1"/>
    </xf>
    <xf numFmtId="0" fontId="19" fillId="2" borderId="41" xfId="0" applyFont="1" applyFill="1" applyBorder="1" applyAlignment="1" applyProtection="1">
      <alignment horizontal="center" vertical="center"/>
      <protection hidden="1"/>
    </xf>
    <xf numFmtId="0" fontId="13" fillId="2" borderId="53"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2" borderId="31" xfId="0" applyFont="1" applyFill="1" applyBorder="1" applyAlignment="1" applyProtection="1">
      <alignment horizontal="left" vertical="center" wrapText="1"/>
      <protection locked="0"/>
    </xf>
    <xf numFmtId="0" fontId="17" fillId="2" borderId="53"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26" fillId="0" borderId="18" xfId="36" applyFont="1" applyFill="1" applyBorder="1" applyAlignment="1" applyProtection="1">
      <alignment horizontal="center"/>
      <protection hidden="1"/>
    </xf>
    <xf numFmtId="0" fontId="17" fillId="2" borderId="1"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27" fillId="0" borderId="0" xfId="36" applyFont="1" applyFill="1" applyBorder="1" applyAlignment="1" applyProtection="1">
      <alignment horizontal="center" vertical="center" wrapText="1"/>
      <protection hidden="1"/>
    </xf>
    <xf numFmtId="0" fontId="24" fillId="0" borderId="18" xfId="36" applyFont="1" applyFill="1" applyBorder="1" applyAlignment="1" applyProtection="1">
      <alignment horizontal="center" wrapText="1"/>
      <protection hidden="1"/>
    </xf>
    <xf numFmtId="49" fontId="17" fillId="2" borderId="53" xfId="0" applyNumberFormat="1" applyFont="1" applyFill="1" applyBorder="1" applyAlignment="1" applyProtection="1">
      <alignment horizontal="left" vertical="center" wrapText="1"/>
      <protection locked="0" hidden="1"/>
    </xf>
    <xf numFmtId="49" fontId="17" fillId="2" borderId="1" xfId="0" applyNumberFormat="1" applyFont="1" applyFill="1" applyBorder="1" applyAlignment="1" applyProtection="1">
      <alignment horizontal="left" vertical="center" wrapText="1"/>
      <protection locked="0" hidden="1"/>
    </xf>
    <xf numFmtId="49" fontId="17" fillId="2" borderId="31" xfId="0" applyNumberFormat="1" applyFont="1" applyFill="1" applyBorder="1" applyAlignment="1" applyProtection="1">
      <alignment horizontal="left" vertical="center" wrapText="1"/>
      <protection locked="0" hidden="1"/>
    </xf>
    <xf numFmtId="0" fontId="17" fillId="2" borderId="53" xfId="0" applyFont="1" applyFill="1" applyBorder="1" applyAlignment="1" applyProtection="1">
      <alignment horizontal="left" vertical="center" wrapText="1"/>
      <protection locked="0" hidden="1"/>
    </xf>
    <xf numFmtId="0" fontId="17" fillId="2" borderId="1" xfId="0" applyFont="1" applyFill="1" applyBorder="1" applyAlignment="1" applyProtection="1">
      <alignment horizontal="left" vertical="center" wrapText="1"/>
      <protection locked="0" hidden="1"/>
    </xf>
    <xf numFmtId="0" fontId="17" fillId="2" borderId="31" xfId="0" applyFont="1" applyFill="1" applyBorder="1" applyAlignment="1" applyProtection="1">
      <alignment horizontal="left" vertical="center" wrapText="1"/>
      <protection locked="0" hidden="1"/>
    </xf>
    <xf numFmtId="0" fontId="19" fillId="2" borderId="0" xfId="0" applyFont="1" applyFill="1" applyBorder="1" applyAlignment="1" applyProtection="1">
      <alignment horizontal="center" wrapText="1"/>
    </xf>
    <xf numFmtId="0" fontId="11" fillId="2" borderId="18" xfId="0" applyFont="1" applyFill="1" applyBorder="1" applyAlignment="1" applyProtection="1">
      <alignment horizontal="center" wrapText="1"/>
      <protection hidden="1"/>
    </xf>
    <xf numFmtId="0" fontId="111" fillId="2" borderId="53" xfId="36" applyFont="1" applyFill="1" applyBorder="1" applyAlignment="1" applyProtection="1">
      <alignment horizontal="left" vertical="center" wrapText="1"/>
      <protection locked="0"/>
    </xf>
    <xf numFmtId="0" fontId="112" fillId="2" borderId="1" xfId="0" applyFont="1" applyFill="1" applyBorder="1" applyAlignment="1" applyProtection="1">
      <alignment horizontal="left" vertical="center" wrapText="1"/>
      <protection locked="0"/>
    </xf>
    <xf numFmtId="0" fontId="112" fillId="2" borderId="3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wrapText="1"/>
      <protection hidden="1"/>
    </xf>
    <xf numFmtId="0" fontId="109" fillId="2" borderId="53" xfId="36" applyFont="1" applyFill="1" applyBorder="1" applyAlignment="1" applyProtection="1">
      <alignment horizontal="left" vertical="center" wrapText="1"/>
      <protection locked="0" hidden="1"/>
    </xf>
    <xf numFmtId="0" fontId="109" fillId="2" borderId="1" xfId="36" applyFont="1" applyFill="1" applyBorder="1" applyAlignment="1" applyProtection="1">
      <alignment horizontal="left" vertical="center" wrapText="1"/>
      <protection locked="0" hidden="1"/>
    </xf>
    <xf numFmtId="0" fontId="109" fillId="2" borderId="31" xfId="36" applyFont="1" applyFill="1" applyBorder="1" applyAlignment="1" applyProtection="1">
      <alignment horizontal="left" vertical="center" wrapText="1"/>
      <protection locked="0" hidden="1"/>
    </xf>
    <xf numFmtId="0" fontId="16" fillId="2" borderId="18" xfId="0" applyFont="1" applyFill="1" applyBorder="1" applyAlignment="1" applyProtection="1">
      <alignment horizontal="center" vertical="top" wrapText="1"/>
      <protection hidden="1"/>
    </xf>
    <xf numFmtId="0" fontId="16" fillId="2" borderId="36" xfId="0" applyFont="1" applyFill="1" applyBorder="1" applyAlignment="1" applyProtection="1">
      <alignment horizontal="right" vertical="center"/>
      <protection hidden="1"/>
    </xf>
    <xf numFmtId="0" fontId="16" fillId="2" borderId="20"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5" fillId="2" borderId="53" xfId="0" applyFont="1" applyFill="1" applyBorder="1" applyAlignment="1" applyProtection="1">
      <alignment horizontal="center" vertical="center"/>
      <protection hidden="1"/>
    </xf>
    <xf numFmtId="0" fontId="15" fillId="2" borderId="1" xfId="0" applyFont="1" applyFill="1" applyBorder="1" applyAlignment="1" applyProtection="1">
      <alignment horizontal="center" vertical="center"/>
      <protection hidden="1"/>
    </xf>
    <xf numFmtId="0" fontId="15" fillId="2" borderId="31" xfId="0" applyFont="1" applyFill="1" applyBorder="1" applyAlignment="1" applyProtection="1">
      <alignment horizontal="center" vertical="center"/>
      <protection hidden="1"/>
    </xf>
    <xf numFmtId="0" fontId="17" fillId="2" borderId="25" xfId="0" applyFont="1" applyFill="1" applyBorder="1" applyAlignment="1" applyProtection="1">
      <alignment horizontal="left" vertical="center" wrapText="1"/>
      <protection locked="0" hidden="1"/>
    </xf>
    <xf numFmtId="0" fontId="17" fillId="2" borderId="18" xfId="0" applyFont="1" applyFill="1" applyBorder="1" applyAlignment="1" applyProtection="1">
      <alignment horizontal="left" vertical="center" wrapText="1"/>
      <protection locked="0" hidden="1"/>
    </xf>
    <xf numFmtId="0" fontId="17" fillId="2" borderId="27" xfId="0" applyFont="1" applyFill="1" applyBorder="1" applyAlignment="1" applyProtection="1">
      <alignment horizontal="left" vertical="center" wrapText="1"/>
      <protection locked="0" hidden="1"/>
    </xf>
    <xf numFmtId="0" fontId="16" fillId="2" borderId="0" xfId="0" applyFont="1" applyFill="1" applyBorder="1" applyAlignment="1" applyProtection="1">
      <alignment horizontal="center" vertical="center" wrapText="1"/>
      <protection hidden="1"/>
    </xf>
    <xf numFmtId="0" fontId="17" fillId="2" borderId="56" xfId="0" applyFont="1" applyFill="1" applyBorder="1" applyAlignment="1" applyProtection="1">
      <alignment horizontal="left" vertical="center" wrapText="1"/>
      <protection locked="0" hidden="1"/>
    </xf>
    <xf numFmtId="0" fontId="17" fillId="2" borderId="19" xfId="0" applyFont="1" applyFill="1" applyBorder="1" applyAlignment="1" applyProtection="1">
      <alignment horizontal="left" vertical="center" wrapText="1"/>
      <protection locked="0" hidden="1"/>
    </xf>
    <xf numFmtId="0" fontId="17" fillId="2" borderId="26" xfId="0" applyFont="1" applyFill="1" applyBorder="1" applyAlignment="1" applyProtection="1">
      <alignment horizontal="left" vertical="center" wrapText="1"/>
      <protection locked="0" hidden="1"/>
    </xf>
    <xf numFmtId="0" fontId="27" fillId="0" borderId="19" xfId="36" applyFont="1" applyFill="1" applyBorder="1" applyAlignment="1" applyProtection="1">
      <alignment horizontal="center" vertical="center" wrapText="1"/>
      <protection hidden="1"/>
    </xf>
    <xf numFmtId="0" fontId="27" fillId="2" borderId="0" xfId="36" applyFont="1" applyFill="1" applyBorder="1" applyAlignment="1" applyProtection="1">
      <alignment horizontal="center" vertical="center" wrapText="1"/>
      <protection hidden="1"/>
    </xf>
    <xf numFmtId="0" fontId="110" fillId="0" borderId="25" xfId="36" applyFont="1" applyFill="1" applyBorder="1" applyAlignment="1" applyProtection="1">
      <alignment horizontal="left" vertical="center" wrapText="1"/>
      <protection hidden="1"/>
    </xf>
    <xf numFmtId="0" fontId="110" fillId="0" borderId="18" xfId="36" applyFont="1" applyFill="1" applyBorder="1" applyAlignment="1" applyProtection="1">
      <alignment horizontal="left" vertical="center" wrapText="1"/>
      <protection hidden="1"/>
    </xf>
    <xf numFmtId="0" fontId="110" fillId="0" borderId="27" xfId="36" applyFont="1" applyFill="1" applyBorder="1" applyAlignment="1" applyProtection="1">
      <alignment horizontal="left" vertical="center" wrapText="1"/>
      <protection hidden="1"/>
    </xf>
    <xf numFmtId="0" fontId="16" fillId="2" borderId="18" xfId="0" applyFont="1" applyFill="1" applyBorder="1" applyAlignment="1" applyProtection="1">
      <alignment horizontal="left" wrapText="1"/>
      <protection hidden="1"/>
    </xf>
    <xf numFmtId="0" fontId="109" fillId="0" borderId="54" xfId="0" applyNumberFormat="1" applyFont="1" applyBorder="1" applyAlignment="1" applyProtection="1">
      <alignment horizontal="left" wrapText="1"/>
      <protection locked="0" hidden="1"/>
    </xf>
    <xf numFmtId="0" fontId="109" fillId="0" borderId="55" xfId="0" applyNumberFormat="1" applyFont="1" applyBorder="1" applyAlignment="1" applyProtection="1">
      <alignment horizontal="left" wrapText="1"/>
      <protection locked="0" hidden="1"/>
    </xf>
    <xf numFmtId="0" fontId="109" fillId="0" borderId="11" xfId="0" applyNumberFormat="1" applyFont="1" applyBorder="1" applyAlignment="1" applyProtection="1">
      <alignment horizontal="left" wrapText="1"/>
      <protection locked="0" hidden="1"/>
    </xf>
    <xf numFmtId="165" fontId="16" fillId="2" borderId="25" xfId="0" applyNumberFormat="1" applyFont="1" applyFill="1" applyBorder="1" applyAlignment="1" applyProtection="1">
      <alignment horizontal="center" wrapText="1"/>
      <protection locked="0" hidden="1"/>
    </xf>
    <xf numFmtId="165" fontId="16" fillId="2" borderId="27" xfId="0" applyNumberFormat="1" applyFont="1" applyFill="1" applyBorder="1" applyAlignment="1" applyProtection="1">
      <alignment horizontal="center" wrapText="1"/>
      <protection locked="0" hidden="1"/>
    </xf>
    <xf numFmtId="0" fontId="16" fillId="2" borderId="18" xfId="0" applyFont="1" applyFill="1" applyBorder="1" applyAlignment="1" applyProtection="1">
      <alignment horizontal="center" wrapText="1"/>
      <protection hidden="1"/>
    </xf>
    <xf numFmtId="0" fontId="52" fillId="2" borderId="32" xfId="36" applyFont="1" applyFill="1" applyBorder="1" applyAlignment="1" applyProtection="1">
      <alignment horizontal="center" vertical="center"/>
      <protection hidden="1"/>
    </xf>
    <xf numFmtId="0" fontId="52" fillId="2" borderId="0" xfId="36" applyFont="1" applyFill="1" applyBorder="1" applyAlignment="1" applyProtection="1">
      <alignment horizontal="center" vertical="center"/>
      <protection hidden="1"/>
    </xf>
    <xf numFmtId="0" fontId="14" fillId="0" borderId="52" xfId="0" applyFont="1" applyBorder="1" applyAlignment="1" applyProtection="1">
      <alignment horizontal="left" vertical="center" wrapText="1"/>
      <protection hidden="1"/>
    </xf>
    <xf numFmtId="0" fontId="8" fillId="0" borderId="0" xfId="0" applyFont="1" applyAlignment="1" applyProtection="1">
      <alignment horizontal="center" wrapText="1"/>
      <protection hidden="1"/>
    </xf>
    <xf numFmtId="0" fontId="24" fillId="2" borderId="0" xfId="36" applyFont="1" applyFill="1" applyBorder="1" applyAlignment="1" applyProtection="1">
      <alignment horizontal="center" vertical="center" wrapText="1"/>
      <protection hidden="1"/>
    </xf>
    <xf numFmtId="0" fontId="38"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6" fillId="2" borderId="57"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6" fillId="0" borderId="0" xfId="0" applyFont="1" applyFill="1" applyAlignment="1">
      <alignment horizontal="center"/>
    </xf>
  </cellXfs>
  <cellStyles count="31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2 2" xfId="203"/>
    <cellStyle name="Bad 3" xfId="26"/>
    <cellStyle name="Calculation 2" xfId="27"/>
    <cellStyle name="Check Cell 2" xfId="28"/>
    <cellStyle name="Excel Built-in Normal" xfId="29"/>
    <cellStyle name="Explanatory Text 2" xfId="30"/>
    <cellStyle name="Good 2" xfId="31"/>
    <cellStyle name="Heading 1 2" xfId="32"/>
    <cellStyle name="Heading 2 2" xfId="33"/>
    <cellStyle name="Heading 3 2" xfId="34"/>
    <cellStyle name="Heading 4 2" xfId="35"/>
    <cellStyle name="Hyperlink" xfId="36" builtinId="8"/>
    <cellStyle name="Hyperlink 2" xfId="37"/>
    <cellStyle name="Hyperlink 3" xfId="38"/>
    <cellStyle name="Hyperlink 3 2" xfId="137"/>
    <cellStyle name="Hyperlink 3 2 2" xfId="204"/>
    <cellStyle name="Hyperlink 3 2 3" xfId="252"/>
    <cellStyle name="Hyperlink 4" xfId="39"/>
    <cellStyle name="Hyperlink 5" xfId="40"/>
    <cellStyle name="Hyperlink 5 2" xfId="41"/>
    <cellStyle name="Hyperlink 5 2 2" xfId="138"/>
    <cellStyle name="Hyperlink 5 2 2 2" xfId="205"/>
    <cellStyle name="Hyperlink 5 2 2 3" xfId="253"/>
    <cellStyle name="Hyperlink 6" xfId="42"/>
    <cellStyle name="Hyperlink 7" xfId="43"/>
    <cellStyle name="Input 2" xfId="44"/>
    <cellStyle name="Linked Cell 2" xfId="45"/>
    <cellStyle name="Neutral 2" xfId="46"/>
    <cellStyle name="Normal" xfId="0" builtinId="0"/>
    <cellStyle name="Normal 10" xfId="47"/>
    <cellStyle name="Normal 100" xfId="48"/>
    <cellStyle name="Normal 118" xfId="49"/>
    <cellStyle name="Normal 12" xfId="50"/>
    <cellStyle name="Normal 13" xfId="51"/>
    <cellStyle name="Normal 13 2" xfId="52"/>
    <cellStyle name="Normal 13 2 2" xfId="53"/>
    <cellStyle name="Normal 13 2 2 2" xfId="54"/>
    <cellStyle name="Normal 13 2 2 2 2" xfId="142"/>
    <cellStyle name="Normal 13 2 2 2 2 2" xfId="209"/>
    <cellStyle name="Normal 13 2 2 2 2 3" xfId="258"/>
    <cellStyle name="Normal 13 2 2 2 3" xfId="175"/>
    <cellStyle name="Normal 13 2 2 2 4" xfId="257"/>
    <cellStyle name="Normal 13 2 2 3" xfId="141"/>
    <cellStyle name="Normal 13 2 2 3 2" xfId="208"/>
    <cellStyle name="Normal 13 2 2 3 3" xfId="259"/>
    <cellStyle name="Normal 13 2 2 4" xfId="174"/>
    <cellStyle name="Normal 13 2 2 5" xfId="256"/>
    <cellStyle name="Normal 13 2 3" xfId="55"/>
    <cellStyle name="Normal 13 2 3 2" xfId="143"/>
    <cellStyle name="Normal 13 2 3 2 2" xfId="210"/>
    <cellStyle name="Normal 13 2 3 2 3" xfId="261"/>
    <cellStyle name="Normal 13 2 3 3" xfId="176"/>
    <cellStyle name="Normal 13 2 3 4" xfId="260"/>
    <cellStyle name="Normal 13 2 4" xfId="140"/>
    <cellStyle name="Normal 13 2 4 2" xfId="207"/>
    <cellStyle name="Normal 13 2 4 3" xfId="262"/>
    <cellStyle name="Normal 13 2 5" xfId="173"/>
    <cellStyle name="Normal 13 2 6" xfId="255"/>
    <cellStyle name="Normal 13 3" xfId="56"/>
    <cellStyle name="Normal 13 3 2" xfId="57"/>
    <cellStyle name="Normal 13 3 2 2" xfId="145"/>
    <cellStyle name="Normal 13 3 2 2 2" xfId="212"/>
    <cellStyle name="Normal 13 3 2 2 3" xfId="265"/>
    <cellStyle name="Normal 13 3 2 3" xfId="178"/>
    <cellStyle name="Normal 13 3 2 4" xfId="264"/>
    <cellStyle name="Normal 13 3 3" xfId="144"/>
    <cellStyle name="Normal 13 3 3 2" xfId="211"/>
    <cellStyle name="Normal 13 3 3 3" xfId="266"/>
    <cellStyle name="Normal 13 3 4" xfId="177"/>
    <cellStyle name="Normal 13 3 5" xfId="263"/>
    <cellStyle name="Normal 13 4" xfId="58"/>
    <cellStyle name="Normal 13 4 2" xfId="146"/>
    <cellStyle name="Normal 13 4 2 2" xfId="213"/>
    <cellStyle name="Normal 13 4 2 3" xfId="268"/>
    <cellStyle name="Normal 13 4 3" xfId="179"/>
    <cellStyle name="Normal 13 4 4" xfId="267"/>
    <cellStyle name="Normal 13 5" xfId="139"/>
    <cellStyle name="Normal 13 5 2" xfId="206"/>
    <cellStyle name="Normal 13 5 3" xfId="269"/>
    <cellStyle name="Normal 13 6" xfId="172"/>
    <cellStyle name="Normal 13 7" xfId="254"/>
    <cellStyle name="Normal 15" xfId="59"/>
    <cellStyle name="Normal 16" xfId="60"/>
    <cellStyle name="Normal 17" xfId="61"/>
    <cellStyle name="Normal 19" xfId="62"/>
    <cellStyle name="Normal 2" xfId="63"/>
    <cellStyle name="Normal 2 2" xfId="64"/>
    <cellStyle name="Normal 2 2 2" xfId="65"/>
    <cellStyle name="Normal 2 2 2 2" xfId="147"/>
    <cellStyle name="Normal 2 2 2 2 2" xfId="214"/>
    <cellStyle name="Normal 2 2 2 2 3" xfId="271"/>
    <cellStyle name="Normal 2 2 2 3" xfId="180"/>
    <cellStyle name="Normal 2 2 2 4" xfId="270"/>
    <cellStyle name="Normal 2 2 3" xfId="66"/>
    <cellStyle name="Normal 2 2 3 2" xfId="148"/>
    <cellStyle name="Normal 2 2 3 2 2" xfId="215"/>
    <cellStyle name="Normal 2 2 3 2 3" xfId="273"/>
    <cellStyle name="Normal 2 2 3 3" xfId="181"/>
    <cellStyle name="Normal 2 2 3 4" xfId="272"/>
    <cellStyle name="Normal 2 3" xfId="67"/>
    <cellStyle name="Normal 2 3 2" xfId="68"/>
    <cellStyle name="Normal 2 3 2 2" xfId="149"/>
    <cellStyle name="Normal 2 3 2 2 2" xfId="216"/>
    <cellStyle name="Normal 2 3 2 2 3" xfId="275"/>
    <cellStyle name="Normal 2 3 2 3" xfId="182"/>
    <cellStyle name="Normal 2 3 2 4" xfId="274"/>
    <cellStyle name="Normal 2 4" xfId="69"/>
    <cellStyle name="Normal 2 4 2" xfId="70"/>
    <cellStyle name="Normal 2 4 2 2" xfId="150"/>
    <cellStyle name="Normal 2 4 2 2 2" xfId="217"/>
    <cellStyle name="Normal 2 4 2 2 3" xfId="277"/>
    <cellStyle name="Normal 2 4 2 3" xfId="183"/>
    <cellStyle name="Normal 2 4 2 4" xfId="276"/>
    <cellStyle name="Normal 2 5" xfId="71"/>
    <cellStyle name="Normal 2 5 2" xfId="151"/>
    <cellStyle name="Normal 23" xfId="72"/>
    <cellStyle name="Normal 3" xfId="73"/>
    <cellStyle name="Normal 3 2" xfId="74"/>
    <cellStyle name="Normal 3 2 11" xfId="75"/>
    <cellStyle name="Normal 3 2 2" xfId="152"/>
    <cellStyle name="Normal 3 2 2 2" xfId="219"/>
    <cellStyle name="Normal 3 2 2 3" xfId="279"/>
    <cellStyle name="Normal 3 2 3" xfId="184"/>
    <cellStyle name="Normal 3 2 4" xfId="278"/>
    <cellStyle name="Normal 3 3" xfId="76"/>
    <cellStyle name="Normal 3 3 2" xfId="220"/>
    <cellStyle name="Normal 3 4" xfId="77"/>
    <cellStyle name="Normal 3 4 2" xfId="153"/>
    <cellStyle name="Normal 3 4 2 2" xfId="221"/>
    <cellStyle name="Normal 3 4 2 3" xfId="281"/>
    <cellStyle name="Normal 3 4 3" xfId="185"/>
    <cellStyle name="Normal 3 4 4" xfId="280"/>
    <cellStyle name="Normal 3 5" xfId="218"/>
    <cellStyle name="Normal 3 8" xfId="78"/>
    <cellStyle name="Normal 3 8 2" xfId="79"/>
    <cellStyle name="Normal 3 8 2 2" xfId="80"/>
    <cellStyle name="Normal 3 8 2 2 2" xfId="156"/>
    <cellStyle name="Normal 3 8 2 2 2 2" xfId="224"/>
    <cellStyle name="Normal 3 8 2 2 2 3" xfId="285"/>
    <cellStyle name="Normal 3 8 2 2 3" xfId="188"/>
    <cellStyle name="Normal 3 8 2 2 4" xfId="284"/>
    <cellStyle name="Normal 3 8 2 3" xfId="155"/>
    <cellStyle name="Normal 3 8 2 3 2" xfId="223"/>
    <cellStyle name="Normal 3 8 2 3 3" xfId="286"/>
    <cellStyle name="Normal 3 8 2 4" xfId="187"/>
    <cellStyle name="Normal 3 8 2 5" xfId="283"/>
    <cellStyle name="Normal 3 8 3" xfId="81"/>
    <cellStyle name="Normal 3 8 3 2" xfId="157"/>
    <cellStyle name="Normal 3 8 3 2 2" xfId="225"/>
    <cellStyle name="Normal 3 8 3 2 3" xfId="288"/>
    <cellStyle name="Normal 3 8 3 3" xfId="189"/>
    <cellStyle name="Normal 3 8 3 4" xfId="287"/>
    <cellStyle name="Normal 3 8 4" xfId="154"/>
    <cellStyle name="Normal 3 8 4 2" xfId="222"/>
    <cellStyle name="Normal 3 8 4 3" xfId="289"/>
    <cellStyle name="Normal 3 8 5" xfId="186"/>
    <cellStyle name="Normal 3 8 6" xfId="282"/>
    <cellStyle name="Normal 4" xfId="82"/>
    <cellStyle name="Normal 4 2" xfId="83"/>
    <cellStyle name="Normal 4 2 2" xfId="158"/>
    <cellStyle name="Normal 4 2 2 2" xfId="226"/>
    <cellStyle name="Normal 4 2 2 3" xfId="291"/>
    <cellStyle name="Normal 4 2 3" xfId="190"/>
    <cellStyle name="Normal 4 2 4" xfId="290"/>
    <cellStyle name="Normal 4 3" xfId="84"/>
    <cellStyle name="Normal 4 4" xfId="85"/>
    <cellStyle name="Normal 4 4 2" xfId="159"/>
    <cellStyle name="Normal 4 4 2 2" xfId="227"/>
    <cellStyle name="Normal 4 4 2 3" xfId="293"/>
    <cellStyle name="Normal 4 4 3" xfId="191"/>
    <cellStyle name="Normal 4 4 4" xfId="292"/>
    <cellStyle name="Normal 416" xfId="86"/>
    <cellStyle name="Normal 417" xfId="87"/>
    <cellStyle name="Normal 428" xfId="88"/>
    <cellStyle name="Normal 429" xfId="89"/>
    <cellStyle name="Normal 486" xfId="90"/>
    <cellStyle name="Normal 487" xfId="91"/>
    <cellStyle name="Normal 489" xfId="92"/>
    <cellStyle name="Normal 490" xfId="93"/>
    <cellStyle name="Normal 5" xfId="94"/>
    <cellStyle name="Normal 5 2" xfId="95"/>
    <cellStyle name="Normal 5 2 2" xfId="229"/>
    <cellStyle name="Normal 5 3" xfId="96"/>
    <cellStyle name="Normal 5 3 2" xfId="160"/>
    <cellStyle name="Normal 5 3 2 2" xfId="230"/>
    <cellStyle name="Normal 5 3 2 3" xfId="295"/>
    <cellStyle name="Normal 5 3 3" xfId="192"/>
    <cellStyle name="Normal 5 3 4" xfId="294"/>
    <cellStyle name="Normal 5 4" xfId="228"/>
    <cellStyle name="Normal 506" xfId="97"/>
    <cellStyle name="Normal 516" xfId="98"/>
    <cellStyle name="Normal 517" xfId="99"/>
    <cellStyle name="Normal 53" xfId="100"/>
    <cellStyle name="Normal 54" xfId="101"/>
    <cellStyle name="Normal 542" xfId="102"/>
    <cellStyle name="Normal 543" xfId="103"/>
    <cellStyle name="Normal 544" xfId="104"/>
    <cellStyle name="Normal 547" xfId="105"/>
    <cellStyle name="Normal 548" xfId="106"/>
    <cellStyle name="Normal 550" xfId="107"/>
    <cellStyle name="Normal 571" xfId="108"/>
    <cellStyle name="Normal 572" xfId="109"/>
    <cellStyle name="Normal 6" xfId="110"/>
    <cellStyle name="Normal 6 2" xfId="111"/>
    <cellStyle name="Normal 6 2 2" xfId="162"/>
    <cellStyle name="Normal 6 2 2 2" xfId="232"/>
    <cellStyle name="Normal 6 2 2 3" xfId="298"/>
    <cellStyle name="Normal 6 2 3" xfId="194"/>
    <cellStyle name="Normal 6 2 4" xfId="297"/>
    <cellStyle name="Normal 6 3" xfId="112"/>
    <cellStyle name="Normal 6 4" xfId="161"/>
    <cellStyle name="Normal 6 4 2" xfId="231"/>
    <cellStyle name="Normal 6 4 3" xfId="299"/>
    <cellStyle name="Normal 6 5" xfId="193"/>
    <cellStyle name="Normal 6 6" xfId="296"/>
    <cellStyle name="Normal 7" xfId="113"/>
    <cellStyle name="Normal 7 2" xfId="114"/>
    <cellStyle name="Normal 7 2 2" xfId="163"/>
    <cellStyle name="Normal 7 2 2 2" xfId="233"/>
    <cellStyle name="Normal 7 2 2 3" xfId="300"/>
    <cellStyle name="Normal_Sheet1" xfId="115"/>
    <cellStyle name="Note 2" xfId="116"/>
    <cellStyle name="Output 2" xfId="117"/>
    <cellStyle name="Standard 3" xfId="118"/>
    <cellStyle name="Standard 4" xfId="119"/>
    <cellStyle name="Standard 4 2" xfId="120"/>
    <cellStyle name="Standard 4 2 2" xfId="121"/>
    <cellStyle name="Standard 4 2 2 2" xfId="122"/>
    <cellStyle name="Standard 4 2 2 2 2" xfId="167"/>
    <cellStyle name="Standard 4 2 2 2 2 2" xfId="237"/>
    <cellStyle name="Standard 4 2 2 2 2 3" xfId="305"/>
    <cellStyle name="Standard 4 2 2 2 3" xfId="198"/>
    <cellStyle name="Standard 4 2 2 2 4" xfId="304"/>
    <cellStyle name="Standard 4 2 2 3" xfId="166"/>
    <cellStyle name="Standard 4 2 2 3 2" xfId="236"/>
    <cellStyle name="Standard 4 2 2 3 3" xfId="306"/>
    <cellStyle name="Standard 4 2 2 4" xfId="197"/>
    <cellStyle name="Standard 4 2 2 5" xfId="303"/>
    <cellStyle name="Standard 4 2 3" xfId="123"/>
    <cellStyle name="Standard 4 2 3 2" xfId="168"/>
    <cellStyle name="Standard 4 2 3 2 2" xfId="238"/>
    <cellStyle name="Standard 4 2 3 2 3" xfId="308"/>
    <cellStyle name="Standard 4 2 3 3" xfId="199"/>
    <cellStyle name="Standard 4 2 3 4" xfId="307"/>
    <cellStyle name="Standard 4 2 4" xfId="165"/>
    <cellStyle name="Standard 4 2 4 2" xfId="235"/>
    <cellStyle name="Standard 4 2 4 3" xfId="309"/>
    <cellStyle name="Standard 4 2 5" xfId="196"/>
    <cellStyle name="Standard 4 2 6" xfId="302"/>
    <cellStyle name="Standard 4 3" xfId="124"/>
    <cellStyle name="Standard 4 3 2" xfId="125"/>
    <cellStyle name="Standard 4 3 2 2" xfId="170"/>
    <cellStyle name="Standard 4 3 2 2 2" xfId="240"/>
    <cellStyle name="Standard 4 3 2 2 3" xfId="312"/>
    <cellStyle name="Standard 4 3 2 3" xfId="201"/>
    <cellStyle name="Standard 4 3 2 4" xfId="311"/>
    <cellStyle name="Standard 4 3 3" xfId="169"/>
    <cellStyle name="Standard 4 3 3 2" xfId="239"/>
    <cellStyle name="Standard 4 3 3 3" xfId="313"/>
    <cellStyle name="Standard 4 3 4" xfId="200"/>
    <cellStyle name="Standard 4 3 5" xfId="310"/>
    <cellStyle name="Standard 4 4" xfId="126"/>
    <cellStyle name="Standard 4 4 2" xfId="171"/>
    <cellStyle name="Standard 4 4 2 2" xfId="241"/>
    <cellStyle name="Standard 4 4 2 3" xfId="315"/>
    <cellStyle name="Standard 4 4 3" xfId="202"/>
    <cellStyle name="Standard 4 4 4" xfId="314"/>
    <cellStyle name="Standard 4 5" xfId="164"/>
    <cellStyle name="Standard 4 5 2" xfId="234"/>
    <cellStyle name="Standard 4 5 3" xfId="316"/>
    <cellStyle name="Standard 4 6" xfId="195"/>
    <cellStyle name="Standard 4 7" xfId="301"/>
    <cellStyle name="Standard 6" xfId="127"/>
    <cellStyle name="Title 2" xfId="128"/>
    <cellStyle name="Total 2" xfId="129"/>
    <cellStyle name="Warning Text 2" xfId="130"/>
    <cellStyle name="표준 2" xfId="131"/>
    <cellStyle name="표준 2 2" xfId="242"/>
    <cellStyle name="표준 2 3" xfId="243"/>
    <cellStyle name="표준 2 4" xfId="244"/>
    <cellStyle name="표준 2 5" xfId="245"/>
    <cellStyle name="표준 2 6" xfId="246"/>
    <cellStyle name="표준 3" xfId="247"/>
    <cellStyle name="표준 4" xfId="248"/>
    <cellStyle name="표준 5" xfId="249"/>
    <cellStyle name="표준 6" xfId="250"/>
    <cellStyle name="표준 7" xfId="251"/>
    <cellStyle name="一般 7" xfId="132"/>
    <cellStyle name="標準 2" xfId="133"/>
    <cellStyle name="標準 2 2" xfId="134"/>
    <cellStyle name="標準 2 3" xfId="135"/>
    <cellStyle name="標準_Sheet1" xfId="136"/>
  </cellStyles>
  <dxfs count="6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0000"/>
        </patternFill>
      </fill>
    </dxf>
    <dxf>
      <font>
        <condense val="0"/>
        <extend val="0"/>
        <color indexed="10"/>
      </font>
    </dxf>
    <dxf>
      <font>
        <condense val="0"/>
        <extend val="0"/>
        <color auto="1"/>
      </font>
      <fill>
        <patternFill>
          <bgColor indexed="10"/>
        </patternFill>
      </fill>
    </dxf>
    <dxf>
      <fill>
        <patternFill>
          <bgColor indexed="13"/>
        </patternFill>
      </fill>
    </dxf>
    <dxf>
      <fill>
        <patternFill>
          <bgColor rgb="FFFF0000"/>
        </patternFill>
      </fill>
    </dxf>
    <dxf>
      <fill>
        <patternFill>
          <bgColor indexed="13"/>
        </patternFill>
      </fill>
    </dxf>
    <dxf>
      <fill>
        <patternFill>
          <bgColor indexed="13"/>
        </patternFill>
      </fill>
    </dxf>
    <dxf>
      <fill>
        <patternFill>
          <bgColor rgb="FF5F5F5F"/>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70676" name="図 2">
          <a:extLst>
            <a:ext uri="{FF2B5EF4-FFF2-40B4-BE49-F238E27FC236}">
              <a16:creationId xmlns:a16="http://schemas.microsoft.com/office/drawing/2014/main" id="{287BEF55-3A41-43A1-BB53-9AA2D5FC6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0</xdr:rowOff>
    </xdr:from>
    <xdr:to>
      <xdr:col>0</xdr:col>
      <xdr:colOff>9305925</xdr:colOff>
      <xdr:row>0</xdr:row>
      <xdr:rowOff>1238250</xdr:rowOff>
    </xdr:to>
    <xdr:pic>
      <xdr:nvPicPr>
        <xdr:cNvPr id="71700" name="Picture 1">
          <a:extLst>
            <a:ext uri="{FF2B5EF4-FFF2-40B4-BE49-F238E27FC236}">
              <a16:creationId xmlns:a16="http://schemas.microsoft.com/office/drawing/2014/main" id="{64B4C47E-04DC-4579-B918-BB971ED09B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0"/>
          <a:ext cx="11620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838200</xdr:rowOff>
    </xdr:to>
    <xdr:pic>
      <xdr:nvPicPr>
        <xdr:cNvPr id="72724" name="Picture 1">
          <a:extLst>
            <a:ext uri="{FF2B5EF4-FFF2-40B4-BE49-F238E27FC236}">
              <a16:creationId xmlns:a16="http://schemas.microsoft.com/office/drawing/2014/main" id="{C7424079-92AF-462C-8F3C-06565065EA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15249" name="図 10">
          <a:extLst>
            <a:ext uri="{FF2B5EF4-FFF2-40B4-BE49-F238E27FC236}">
              <a16:creationId xmlns:a16="http://schemas.microsoft.com/office/drawing/2014/main" id="{C958AD3A-2564-44E8-BE2D-BCB3F66C27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400050</xdr:colOff>
      <xdr:row>2</xdr:row>
      <xdr:rowOff>1304925</xdr:rowOff>
    </xdr:to>
    <xdr:pic>
      <xdr:nvPicPr>
        <xdr:cNvPr id="73748" name="図 2">
          <a:extLst>
            <a:ext uri="{FF2B5EF4-FFF2-40B4-BE49-F238E27FC236}">
              <a16:creationId xmlns:a16="http://schemas.microsoft.com/office/drawing/2014/main" id="{E7ED0696-C846-46A0-AE28-C7EA5B00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361950"/>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371475</xdr:colOff>
      <xdr:row>0</xdr:row>
      <xdr:rowOff>95250</xdr:rowOff>
    </xdr:from>
    <xdr:to>
      <xdr:col>12</xdr:col>
      <xdr:colOff>76200</xdr:colOff>
      <xdr:row>3</xdr:row>
      <xdr:rowOff>38100</xdr:rowOff>
    </xdr:to>
    <xdr:pic>
      <xdr:nvPicPr>
        <xdr:cNvPr id="74772" name="Picture 1">
          <a:extLst>
            <a:ext uri="{FF2B5EF4-FFF2-40B4-BE49-F238E27FC236}">
              <a16:creationId xmlns:a16="http://schemas.microsoft.com/office/drawing/2014/main" id="{4D67B6D7-B0E8-4071-9DEB-B3FFC6FF8C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9700" y="95250"/>
          <a:ext cx="7429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75796" name="図 3">
          <a:extLst>
            <a:ext uri="{FF2B5EF4-FFF2-40B4-BE49-F238E27FC236}">
              <a16:creationId xmlns:a16="http://schemas.microsoft.com/office/drawing/2014/main" id="{00B7910B-3F76-4D3F-9B17-BEEF1DACDB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conflictfreesourcing.org/conflict-free-smelter-refiner-list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6"/>
  <sheetViews>
    <sheetView showGridLines="0" topLeftCell="A2" zoomScaleNormal="100" workbookViewId="0">
      <pane xSplit="1" ySplit="11" topLeftCell="B44" activePane="bottomRight" state="frozen"/>
      <selection activeCell="A2" sqref="A2"/>
      <selection pane="topRight" activeCell="B2" sqref="B2"/>
      <selection pane="bottomLeft" activeCell="A13" sqref="A13"/>
      <selection pane="bottomRight" activeCell="E44" sqref="E44"/>
    </sheetView>
  </sheetViews>
  <sheetFormatPr defaultRowHeight="12.75"/>
  <cols>
    <col min="1" max="1" width="0.875" style="125" customWidth="1"/>
    <col min="2" max="2" width="6.875" style="125" customWidth="1"/>
    <col min="3" max="3" width="8.5" style="125" customWidth="1"/>
    <col min="4" max="4" width="13" style="290" customWidth="1"/>
    <col min="5" max="5" width="42.375" style="125" customWidth="1"/>
    <col min="6" max="6" width="53.375" style="125" customWidth="1"/>
    <col min="7" max="7" width="0.875" style="125" customWidth="1"/>
    <col min="8" max="16384" width="9" style="125"/>
  </cols>
  <sheetData>
    <row r="1" spans="1:7" ht="13.5" thickTop="1">
      <c r="A1" s="9"/>
      <c r="B1" s="10"/>
      <c r="C1" s="10"/>
      <c r="D1" s="282"/>
      <c r="E1" s="10"/>
      <c r="F1" s="10"/>
      <c r="G1" s="11"/>
    </row>
    <row r="2" spans="1:7">
      <c r="A2" s="316"/>
      <c r="B2" s="38" t="s">
        <v>1486</v>
      </c>
      <c r="C2" s="36"/>
      <c r="D2" s="283"/>
      <c r="E2" s="3"/>
      <c r="F2" s="36"/>
      <c r="G2" s="34"/>
    </row>
    <row r="3" spans="1:7">
      <c r="A3" s="316"/>
      <c r="B3" s="5" t="s">
        <v>1475</v>
      </c>
      <c r="C3" s="6"/>
      <c r="D3" s="284"/>
      <c r="E3" s="3"/>
      <c r="F3" s="6"/>
      <c r="G3" s="34"/>
    </row>
    <row r="4" spans="1:7" ht="15.75">
      <c r="A4" s="316"/>
      <c r="B4" s="41" t="s">
        <v>1488</v>
      </c>
      <c r="C4" s="7"/>
      <c r="D4" s="285"/>
      <c r="E4" s="3"/>
      <c r="F4" s="7"/>
      <c r="G4" s="34"/>
    </row>
    <row r="5" spans="1:7">
      <c r="A5" s="316"/>
      <c r="B5" s="40" t="s">
        <v>1931</v>
      </c>
      <c r="C5" s="4"/>
      <c r="D5" s="286"/>
      <c r="E5" s="3"/>
      <c r="F5" s="4"/>
      <c r="G5" s="34"/>
    </row>
    <row r="6" spans="1:7">
      <c r="A6" s="316"/>
      <c r="B6" s="8"/>
      <c r="C6" s="8"/>
      <c r="D6" s="287"/>
      <c r="E6" s="8"/>
      <c r="F6" s="8"/>
      <c r="G6" s="34"/>
    </row>
    <row r="7" spans="1:7">
      <c r="A7" s="316"/>
      <c r="B7" s="8"/>
      <c r="C7" s="8"/>
      <c r="D7" s="287"/>
      <c r="E7" s="8"/>
      <c r="F7" s="8"/>
      <c r="G7" s="34"/>
    </row>
    <row r="8" spans="1:7">
      <c r="A8" s="316"/>
      <c r="B8" s="8"/>
      <c r="C8" s="8"/>
      <c r="D8" s="287"/>
      <c r="E8" s="8"/>
      <c r="F8" s="8"/>
      <c r="G8" s="34"/>
    </row>
    <row r="9" spans="1:7">
      <c r="A9" s="316"/>
      <c r="B9" s="319" t="s">
        <v>1489</v>
      </c>
      <c r="C9" s="319"/>
      <c r="D9" s="319"/>
      <c r="E9" s="319"/>
      <c r="F9" s="319"/>
      <c r="G9" s="34"/>
    </row>
    <row r="10" spans="1:7" ht="27" customHeight="1">
      <c r="A10" s="316"/>
      <c r="B10" s="320" t="s">
        <v>847</v>
      </c>
      <c r="C10" s="320"/>
      <c r="D10" s="320"/>
      <c r="E10" s="320"/>
      <c r="F10" s="320"/>
      <c r="G10" s="34"/>
    </row>
    <row r="11" spans="1:7" ht="27" customHeight="1">
      <c r="A11" s="316"/>
      <c r="B11" s="321"/>
      <c r="C11" s="321"/>
      <c r="D11" s="321"/>
      <c r="E11" s="321"/>
      <c r="F11" s="321"/>
      <c r="G11" s="34"/>
    </row>
    <row r="12" spans="1:7" ht="16.5">
      <c r="A12" s="316"/>
      <c r="B12" s="42" t="s">
        <v>1487</v>
      </c>
      <c r="C12" s="43" t="s">
        <v>1490</v>
      </c>
      <c r="D12" s="288" t="s">
        <v>1491</v>
      </c>
      <c r="E12" s="43" t="s">
        <v>1155</v>
      </c>
      <c r="F12" s="43" t="s">
        <v>1156</v>
      </c>
      <c r="G12" s="34"/>
    </row>
    <row r="13" spans="1:7" ht="33.75">
      <c r="A13" s="316"/>
      <c r="B13" s="2">
        <v>1</v>
      </c>
      <c r="C13" s="37" t="s">
        <v>2008</v>
      </c>
      <c r="D13" s="39" t="s">
        <v>1525</v>
      </c>
      <c r="E13" s="249" t="s">
        <v>1492</v>
      </c>
      <c r="F13" s="249"/>
      <c r="G13" s="34"/>
    </row>
    <row r="14" spans="1:7" ht="33.75">
      <c r="A14" s="316"/>
      <c r="B14" s="2">
        <v>2</v>
      </c>
      <c r="C14" s="37" t="s">
        <v>2008</v>
      </c>
      <c r="D14" s="39" t="s">
        <v>1910</v>
      </c>
      <c r="E14" s="249" t="s">
        <v>954</v>
      </c>
      <c r="F14" s="249" t="s">
        <v>955</v>
      </c>
      <c r="G14" s="34"/>
    </row>
    <row r="15" spans="1:7" ht="88.9" customHeight="1">
      <c r="A15" s="316"/>
      <c r="B15" s="322">
        <v>2.0099999999999998</v>
      </c>
      <c r="C15" s="313" t="s">
        <v>2008</v>
      </c>
      <c r="D15" s="325" t="s">
        <v>4215</v>
      </c>
      <c r="E15" s="250" t="s">
        <v>1157</v>
      </c>
      <c r="F15" s="250" t="s">
        <v>1160</v>
      </c>
      <c r="G15" s="34"/>
    </row>
    <row r="16" spans="1:7" ht="99" customHeight="1">
      <c r="A16" s="316"/>
      <c r="B16" s="323"/>
      <c r="C16" s="314"/>
      <c r="D16" s="326"/>
      <c r="E16" s="251"/>
      <c r="F16" s="251" t="s">
        <v>1158</v>
      </c>
      <c r="G16" s="34"/>
    </row>
    <row r="17" spans="1:7" ht="63" customHeight="1">
      <c r="A17" s="316"/>
      <c r="B17" s="324"/>
      <c r="C17" s="315"/>
      <c r="D17" s="327"/>
      <c r="E17" s="37"/>
      <c r="F17" s="37" t="s">
        <v>1159</v>
      </c>
      <c r="G17" s="34"/>
    </row>
    <row r="18" spans="1:7" ht="117" customHeight="1">
      <c r="A18" s="316"/>
      <c r="B18" s="322">
        <v>2.02</v>
      </c>
      <c r="C18" s="313" t="s">
        <v>2008</v>
      </c>
      <c r="D18" s="325" t="s">
        <v>4216</v>
      </c>
      <c r="E18" s="250" t="s">
        <v>848</v>
      </c>
      <c r="F18" s="250" t="s">
        <v>948</v>
      </c>
      <c r="G18" s="34"/>
    </row>
    <row r="19" spans="1:7" ht="70.900000000000006" customHeight="1">
      <c r="A19" s="316"/>
      <c r="B19" s="323"/>
      <c r="C19" s="314"/>
      <c r="D19" s="326"/>
      <c r="E19" s="251" t="s">
        <v>953</v>
      </c>
      <c r="F19" s="251" t="s">
        <v>849</v>
      </c>
      <c r="G19" s="34"/>
    </row>
    <row r="20" spans="1:7" ht="90.75" customHeight="1">
      <c r="A20" s="316"/>
      <c r="B20" s="323"/>
      <c r="C20" s="314"/>
      <c r="D20" s="326"/>
      <c r="E20" s="251"/>
      <c r="F20" s="251" t="s">
        <v>1162</v>
      </c>
      <c r="G20" s="34"/>
    </row>
    <row r="21" spans="1:7" ht="74.25" customHeight="1">
      <c r="A21" s="316"/>
      <c r="B21" s="324"/>
      <c r="C21" s="315"/>
      <c r="D21" s="327"/>
      <c r="E21" s="37"/>
      <c r="F21" s="37" t="s">
        <v>1161</v>
      </c>
      <c r="G21" s="34"/>
    </row>
    <row r="22" spans="1:7" ht="90" customHeight="1">
      <c r="A22" s="316"/>
      <c r="B22" s="307">
        <v>2.0299999999999998</v>
      </c>
      <c r="C22" s="307" t="s">
        <v>1446</v>
      </c>
      <c r="D22" s="310" t="s">
        <v>4217</v>
      </c>
      <c r="E22" s="313" t="s">
        <v>846</v>
      </c>
      <c r="F22" s="250" t="s">
        <v>873</v>
      </c>
      <c r="G22" s="34"/>
    </row>
    <row r="23" spans="1:7" ht="109.5" customHeight="1">
      <c r="A23" s="316"/>
      <c r="B23" s="308"/>
      <c r="C23" s="308"/>
      <c r="D23" s="311"/>
      <c r="E23" s="314"/>
      <c r="F23" s="251" t="s">
        <v>1447</v>
      </c>
      <c r="G23" s="34"/>
    </row>
    <row r="24" spans="1:7" ht="74.25" customHeight="1">
      <c r="A24" s="316"/>
      <c r="B24" s="309"/>
      <c r="C24" s="309"/>
      <c r="D24" s="312"/>
      <c r="E24" s="315"/>
      <c r="F24" s="37" t="s">
        <v>845</v>
      </c>
      <c r="G24" s="34"/>
    </row>
    <row r="25" spans="1:7" ht="72" customHeight="1">
      <c r="A25" s="316"/>
      <c r="B25" s="2" t="s">
        <v>871</v>
      </c>
      <c r="C25" s="37" t="s">
        <v>872</v>
      </c>
      <c r="D25" s="39" t="s">
        <v>4218</v>
      </c>
      <c r="E25" s="37" t="s">
        <v>4211</v>
      </c>
      <c r="F25" s="37" t="s">
        <v>874</v>
      </c>
      <c r="G25" s="34"/>
    </row>
    <row r="26" spans="1:7" ht="97.9" customHeight="1">
      <c r="A26" s="316"/>
      <c r="B26" s="328">
        <v>3</v>
      </c>
      <c r="C26" s="322" t="s">
        <v>92</v>
      </c>
      <c r="D26" s="325" t="s">
        <v>4219</v>
      </c>
      <c r="E26" s="313" t="s">
        <v>0</v>
      </c>
      <c r="F26" s="250" t="s">
        <v>86</v>
      </c>
      <c r="G26" s="34"/>
    </row>
    <row r="27" spans="1:7" ht="90" customHeight="1">
      <c r="A27" s="316"/>
      <c r="B27" s="329"/>
      <c r="C27" s="323"/>
      <c r="D27" s="326"/>
      <c r="E27" s="314"/>
      <c r="F27" s="251" t="s">
        <v>81</v>
      </c>
      <c r="G27" s="34"/>
    </row>
    <row r="28" spans="1:7" ht="19.149999999999999" customHeight="1">
      <c r="A28" s="316"/>
      <c r="B28" s="329"/>
      <c r="C28" s="323"/>
      <c r="D28" s="326"/>
      <c r="E28" s="314"/>
      <c r="F28" s="251" t="s">
        <v>82</v>
      </c>
      <c r="G28" s="34"/>
    </row>
    <row r="29" spans="1:7" ht="74.45" customHeight="1">
      <c r="A29" s="316"/>
      <c r="B29" s="329"/>
      <c r="C29" s="323"/>
      <c r="D29" s="326"/>
      <c r="E29" s="314"/>
      <c r="F29" s="251" t="s">
        <v>83</v>
      </c>
      <c r="G29" s="34"/>
    </row>
    <row r="30" spans="1:7" ht="62.45" customHeight="1">
      <c r="A30" s="316"/>
      <c r="B30" s="329"/>
      <c r="C30" s="323"/>
      <c r="D30" s="326"/>
      <c r="E30" s="314"/>
      <c r="F30" s="251" t="s">
        <v>84</v>
      </c>
      <c r="G30" s="34"/>
    </row>
    <row r="31" spans="1:7" ht="81" customHeight="1">
      <c r="A31" s="316"/>
      <c r="B31" s="329"/>
      <c r="C31" s="323"/>
      <c r="D31" s="326"/>
      <c r="E31" s="314"/>
      <c r="F31" s="251" t="s">
        <v>85</v>
      </c>
      <c r="G31" s="34"/>
    </row>
    <row r="32" spans="1:7" ht="48.6" customHeight="1">
      <c r="A32" s="316"/>
      <c r="B32" s="329"/>
      <c r="C32" s="323"/>
      <c r="D32" s="326"/>
      <c r="E32" s="314"/>
      <c r="F32" s="251" t="s">
        <v>88</v>
      </c>
      <c r="G32" s="34"/>
    </row>
    <row r="33" spans="1:7" ht="98.45" customHeight="1">
      <c r="A33" s="316"/>
      <c r="B33" s="329"/>
      <c r="C33" s="323"/>
      <c r="D33" s="326"/>
      <c r="E33" s="314"/>
      <c r="F33" s="251" t="s">
        <v>87</v>
      </c>
      <c r="G33" s="34"/>
    </row>
    <row r="34" spans="1:7" ht="88.9" customHeight="1">
      <c r="A34" s="316"/>
      <c r="B34" s="329"/>
      <c r="C34" s="323"/>
      <c r="D34" s="326"/>
      <c r="E34" s="314"/>
      <c r="F34" s="251" t="s">
        <v>89</v>
      </c>
      <c r="G34" s="34"/>
    </row>
    <row r="35" spans="1:7" ht="28.9" customHeight="1">
      <c r="A35" s="316"/>
      <c r="B35" s="329"/>
      <c r="C35" s="323"/>
      <c r="D35" s="326"/>
      <c r="E35" s="314"/>
      <c r="F35" s="251" t="s">
        <v>90</v>
      </c>
      <c r="G35" s="34"/>
    </row>
    <row r="36" spans="1:7" ht="126.75">
      <c r="A36" s="316"/>
      <c r="B36" s="330"/>
      <c r="C36" s="324"/>
      <c r="D36" s="327"/>
      <c r="E36" s="315"/>
      <c r="F36" s="252" t="s">
        <v>91</v>
      </c>
      <c r="G36" s="34"/>
    </row>
    <row r="37" spans="1:7" ht="123.75">
      <c r="A37" s="316"/>
      <c r="B37" s="191">
        <v>3.01</v>
      </c>
      <c r="C37" s="192" t="s">
        <v>92</v>
      </c>
      <c r="D37" s="39" t="s">
        <v>4220</v>
      </c>
      <c r="E37" s="253" t="s">
        <v>2544</v>
      </c>
      <c r="F37" s="254" t="s">
        <v>2713</v>
      </c>
      <c r="G37" s="34"/>
    </row>
    <row r="38" spans="1:7" ht="112.5">
      <c r="A38" s="316"/>
      <c r="B38" s="191">
        <v>3.02</v>
      </c>
      <c r="C38" s="192" t="s">
        <v>2594</v>
      </c>
      <c r="D38" s="39" t="s">
        <v>4221</v>
      </c>
      <c r="E38" s="253" t="s">
        <v>2615</v>
      </c>
      <c r="F38" s="254" t="s">
        <v>2714</v>
      </c>
      <c r="G38" s="34"/>
    </row>
    <row r="39" spans="1:7" ht="101.25">
      <c r="A39" s="316"/>
      <c r="B39" s="213">
        <v>4</v>
      </c>
      <c r="C39" s="212" t="s">
        <v>3031</v>
      </c>
      <c r="D39" s="39" t="s">
        <v>4222</v>
      </c>
      <c r="E39" s="37" t="s">
        <v>4138</v>
      </c>
      <c r="F39" s="37" t="s">
        <v>3032</v>
      </c>
      <c r="G39" s="34"/>
    </row>
    <row r="40" spans="1:7" ht="56.25">
      <c r="A40" s="316"/>
      <c r="B40" s="191">
        <v>4.01</v>
      </c>
      <c r="C40" s="212" t="s">
        <v>3031</v>
      </c>
      <c r="D40" s="39" t="s">
        <v>4224</v>
      </c>
      <c r="E40" s="37" t="s">
        <v>4167</v>
      </c>
      <c r="F40" s="37" t="s">
        <v>4173</v>
      </c>
      <c r="G40" s="34"/>
    </row>
    <row r="41" spans="1:7" ht="56.25">
      <c r="A41" s="316"/>
      <c r="B41" s="191" t="s">
        <v>4209</v>
      </c>
      <c r="C41" s="212" t="s">
        <v>3031</v>
      </c>
      <c r="D41" s="39" t="s">
        <v>4223</v>
      </c>
      <c r="E41" s="37" t="s">
        <v>4212</v>
      </c>
      <c r="F41" s="37" t="s">
        <v>4210</v>
      </c>
      <c r="G41" s="34"/>
    </row>
    <row r="42" spans="1:7" ht="56.25">
      <c r="A42" s="316"/>
      <c r="B42" s="191" t="s">
        <v>4269</v>
      </c>
      <c r="C42" s="212" t="s">
        <v>3031</v>
      </c>
      <c r="D42" s="39" t="s">
        <v>4541</v>
      </c>
      <c r="E42" s="37" t="s">
        <v>4211</v>
      </c>
      <c r="F42" s="37" t="s">
        <v>4270</v>
      </c>
      <c r="G42" s="34"/>
    </row>
    <row r="43" spans="1:7" ht="123.75">
      <c r="A43" s="316"/>
      <c r="B43" s="241">
        <v>4.0999999999999996</v>
      </c>
      <c r="C43" s="212" t="s">
        <v>4540</v>
      </c>
      <c r="D43" s="242">
        <v>42489</v>
      </c>
      <c r="E43" s="255" t="s">
        <v>4543</v>
      </c>
      <c r="F43" s="37" t="s">
        <v>4542</v>
      </c>
      <c r="G43" s="34"/>
    </row>
    <row r="44" spans="1:7" ht="78.75">
      <c r="A44" s="316"/>
      <c r="B44" s="241">
        <v>4.2</v>
      </c>
      <c r="C44" s="212" t="s">
        <v>4540</v>
      </c>
      <c r="D44" s="242">
        <v>42704</v>
      </c>
      <c r="E44" s="255" t="s">
        <v>4990</v>
      </c>
      <c r="F44" s="37" t="s">
        <v>4929</v>
      </c>
      <c r="G44" s="34"/>
    </row>
    <row r="45" spans="1:7" ht="13.5" thickBot="1">
      <c r="A45" s="317"/>
      <c r="B45" s="318" t="str">
        <f ca="1">OFFSET(L!$C$1,MATCH("General"&amp;"Cpy",L!$A:$A,0)-1,SL,,)</f>
        <v>© 2016 Conflict-Free Sourcing Initiative. All rights reserved.</v>
      </c>
      <c r="C45" s="318"/>
      <c r="D45" s="318"/>
      <c r="E45" s="318"/>
      <c r="F45" s="318"/>
      <c r="G45" s="35"/>
    </row>
    <row r="46" spans="1:7" ht="13.5" thickTop="1">
      <c r="A46" s="131"/>
      <c r="B46" s="132"/>
      <c r="C46" s="132"/>
      <c r="D46" s="289"/>
      <c r="E46" s="132"/>
      <c r="F46" s="132"/>
      <c r="G46" s="132"/>
    </row>
  </sheetData>
  <sheetProtection password="E985" sheet="1" formatColumns="0" formatRows="0"/>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C26:C36"/>
    <mergeCell ref="B26:B36"/>
    <mergeCell ref="B22:B24"/>
    <mergeCell ref="C22:C24"/>
    <mergeCell ref="D22:D24"/>
    <mergeCell ref="E22:E24"/>
    <mergeCell ref="A2:A45"/>
    <mergeCell ref="B45:F45"/>
    <mergeCell ref="B9:F9"/>
    <mergeCell ref="B10:F11"/>
    <mergeCell ref="B15:B17"/>
    <mergeCell ref="C15:C17"/>
    <mergeCell ref="D15:D17"/>
    <mergeCell ref="B18:B21"/>
    <mergeCell ref="C18:C21"/>
    <mergeCell ref="D18:D21"/>
    <mergeCell ref="E26:E36"/>
    <mergeCell ref="D26:D36"/>
  </mergeCells>
  <phoneticPr fontId="31"/>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40"/>
  <sheetViews>
    <sheetView workbookViewId="0">
      <pane ySplit="1" topLeftCell="A42" activePane="bottomLeft" state="frozen"/>
      <selection pane="bottomLeft" activeCell="B54" sqref="B54"/>
    </sheetView>
  </sheetViews>
  <sheetFormatPr defaultColWidth="8.75" defaultRowHeight="12.75"/>
  <cols>
    <col min="1" max="1" width="27.5" style="82" customWidth="1"/>
    <col min="2" max="2" width="20.125" style="82" bestFit="1" customWidth="1"/>
    <col min="3" max="16384" width="8.75" style="82"/>
  </cols>
  <sheetData>
    <row r="1" spans="1:2">
      <c r="A1" s="81" t="s">
        <v>2110</v>
      </c>
      <c r="B1" s="81" t="s">
        <v>1528</v>
      </c>
    </row>
    <row r="2" spans="1:2">
      <c r="A2" s="83" t="s">
        <v>2114</v>
      </c>
      <c r="B2" s="83" t="s">
        <v>1532</v>
      </c>
    </row>
    <row r="3" spans="1:2">
      <c r="A3" s="83" t="s">
        <v>2169</v>
      </c>
      <c r="B3" s="83" t="s">
        <v>1588</v>
      </c>
    </row>
    <row r="4" spans="1:2">
      <c r="A4" s="83" t="s">
        <v>2120</v>
      </c>
      <c r="B4" s="83" t="s">
        <v>1538</v>
      </c>
    </row>
    <row r="5" spans="1:2">
      <c r="A5" s="83" t="s">
        <v>2115</v>
      </c>
      <c r="B5" s="83" t="s">
        <v>1533</v>
      </c>
    </row>
    <row r="6" spans="1:2">
      <c r="A6" s="83" t="s">
        <v>2112</v>
      </c>
      <c r="B6" s="83" t="s">
        <v>1530</v>
      </c>
    </row>
    <row r="7" spans="1:2">
      <c r="A7" s="83" t="s">
        <v>2113</v>
      </c>
      <c r="B7" s="83" t="s">
        <v>1531</v>
      </c>
    </row>
    <row r="8" spans="1:2">
      <c r="A8" s="83" t="s">
        <v>2121</v>
      </c>
      <c r="B8" s="83" t="s">
        <v>1539</v>
      </c>
    </row>
    <row r="9" spans="1:2">
      <c r="A9" s="83" t="s">
        <v>2123</v>
      </c>
      <c r="B9" s="83" t="s">
        <v>1541</v>
      </c>
    </row>
    <row r="10" spans="1:2">
      <c r="A10" s="83" t="s">
        <v>2118</v>
      </c>
      <c r="B10" s="83" t="s">
        <v>1536</v>
      </c>
    </row>
    <row r="11" spans="1:2">
      <c r="A11" s="83" t="s">
        <v>2119</v>
      </c>
      <c r="B11" s="83" t="s">
        <v>1537</v>
      </c>
    </row>
    <row r="12" spans="1:2">
      <c r="A12" s="83" t="s">
        <v>2111</v>
      </c>
      <c r="B12" s="83" t="s">
        <v>1529</v>
      </c>
    </row>
    <row r="13" spans="1:2">
      <c r="A13" s="83" t="s">
        <v>2124</v>
      </c>
      <c r="B13" s="83" t="s">
        <v>1542</v>
      </c>
    </row>
    <row r="14" spans="1:2">
      <c r="A14" s="83" t="s">
        <v>2125</v>
      </c>
      <c r="B14" s="83" t="s">
        <v>1543</v>
      </c>
    </row>
    <row r="15" spans="1:2">
      <c r="A15" s="83" t="s">
        <v>2126</v>
      </c>
      <c r="B15" s="83" t="s">
        <v>1544</v>
      </c>
    </row>
    <row r="16" spans="1:2">
      <c r="A16" s="83" t="s">
        <v>2134</v>
      </c>
      <c r="B16" s="83" t="s">
        <v>1552</v>
      </c>
    </row>
    <row r="17" spans="1:2">
      <c r="A17" s="83" t="s">
        <v>2133</v>
      </c>
      <c r="B17" s="83" t="s">
        <v>1551</v>
      </c>
    </row>
    <row r="18" spans="1:2">
      <c r="A18" s="83" t="s">
        <v>2131</v>
      </c>
      <c r="B18" s="83" t="s">
        <v>1549</v>
      </c>
    </row>
    <row r="19" spans="1:2">
      <c r="A19" s="83" t="s">
        <v>2140</v>
      </c>
      <c r="B19" s="83" t="s">
        <v>1559</v>
      </c>
    </row>
    <row r="20" spans="1:2">
      <c r="A20" s="83" t="s">
        <v>2136</v>
      </c>
      <c r="B20" s="83" t="s">
        <v>1554</v>
      </c>
    </row>
    <row r="21" spans="1:2">
      <c r="A21" s="83" t="s">
        <v>2128</v>
      </c>
      <c r="B21" s="83" t="s">
        <v>1546</v>
      </c>
    </row>
    <row r="22" spans="1:2">
      <c r="A22" s="83" t="s">
        <v>2137</v>
      </c>
      <c r="B22" s="83" t="s">
        <v>1555</v>
      </c>
    </row>
    <row r="23" spans="1:2">
      <c r="A23" s="83" t="s">
        <v>2129</v>
      </c>
      <c r="B23" s="83" t="s">
        <v>1547</v>
      </c>
    </row>
    <row r="24" spans="1:2">
      <c r="A24" s="83" t="s">
        <v>2138</v>
      </c>
      <c r="B24" s="83" t="s">
        <v>1556</v>
      </c>
    </row>
    <row r="25" spans="1:2">
      <c r="A25" s="83" t="s">
        <v>2142</v>
      </c>
      <c r="B25" s="83" t="s">
        <v>1561</v>
      </c>
    </row>
    <row r="26" spans="1:2">
      <c r="A26" s="281" t="s">
        <v>4874</v>
      </c>
      <c r="B26" s="83" t="s">
        <v>1557</v>
      </c>
    </row>
    <row r="27" spans="1:2">
      <c r="A27" s="83" t="s">
        <v>2135</v>
      </c>
      <c r="B27" s="83" t="s">
        <v>1553</v>
      </c>
    </row>
    <row r="28" spans="1:2">
      <c r="A28" s="83" t="s">
        <v>2144</v>
      </c>
      <c r="B28" s="83" t="s">
        <v>1563</v>
      </c>
    </row>
    <row r="29" spans="1:2">
      <c r="A29" s="83" t="s">
        <v>2143</v>
      </c>
      <c r="B29" s="83" t="s">
        <v>1562</v>
      </c>
    </row>
    <row r="30" spans="1:2">
      <c r="A30" s="83" t="s">
        <v>2139</v>
      </c>
      <c r="B30" s="83" t="s">
        <v>1558</v>
      </c>
    </row>
    <row r="31" spans="1:2">
      <c r="A31" s="83" t="s">
        <v>2208</v>
      </c>
      <c r="B31" s="83" t="s">
        <v>1628</v>
      </c>
    </row>
    <row r="32" spans="1:2">
      <c r="A32" s="83" t="s">
        <v>2141</v>
      </c>
      <c r="B32" s="83" t="s">
        <v>1560</v>
      </c>
    </row>
    <row r="33" spans="1:2">
      <c r="A33" s="83" t="s">
        <v>2132</v>
      </c>
      <c r="B33" s="83" t="s">
        <v>1550</v>
      </c>
    </row>
    <row r="34" spans="1:2">
      <c r="A34" s="83" t="s">
        <v>2130</v>
      </c>
      <c r="B34" s="83" t="s">
        <v>1548</v>
      </c>
    </row>
    <row r="35" spans="1:2">
      <c r="A35" s="83" t="s">
        <v>2127</v>
      </c>
      <c r="B35" s="83" t="s">
        <v>1545</v>
      </c>
    </row>
    <row r="36" spans="1:2">
      <c r="A36" s="83" t="s">
        <v>2221</v>
      </c>
      <c r="B36" s="83" t="s">
        <v>1641</v>
      </c>
    </row>
    <row r="37" spans="1:2">
      <c r="A37" s="83" t="s">
        <v>2152</v>
      </c>
      <c r="B37" s="83" t="s">
        <v>1571</v>
      </c>
    </row>
    <row r="38" spans="1:2">
      <c r="A38" s="83" t="s">
        <v>2146</v>
      </c>
      <c r="B38" s="83" t="s">
        <v>1565</v>
      </c>
    </row>
    <row r="39" spans="1:2">
      <c r="A39" s="83" t="s">
        <v>2157</v>
      </c>
      <c r="B39" s="83" t="s">
        <v>1576</v>
      </c>
    </row>
    <row r="40" spans="1:2">
      <c r="A40" s="83" t="s">
        <v>2161</v>
      </c>
      <c r="B40" s="83" t="s">
        <v>1580</v>
      </c>
    </row>
    <row r="41" spans="1:2">
      <c r="A41" s="83" t="s">
        <v>2145</v>
      </c>
      <c r="B41" s="83" t="s">
        <v>1564</v>
      </c>
    </row>
    <row r="42" spans="1:2">
      <c r="A42" s="83" t="s">
        <v>1714</v>
      </c>
      <c r="B42" s="83" t="s">
        <v>2075</v>
      </c>
    </row>
    <row r="43" spans="1:2">
      <c r="A43" s="83" t="s">
        <v>2149</v>
      </c>
      <c r="B43" s="83" t="s">
        <v>1568</v>
      </c>
    </row>
    <row r="44" spans="1:2">
      <c r="A44" s="83" t="s">
        <v>2150</v>
      </c>
      <c r="B44" s="83" t="s">
        <v>1569</v>
      </c>
    </row>
    <row r="45" spans="1:2">
      <c r="A45" s="83" t="s">
        <v>2160</v>
      </c>
      <c r="B45" s="83" t="s">
        <v>1579</v>
      </c>
    </row>
    <row r="46" spans="1:2">
      <c r="A46" s="83" t="s">
        <v>2147</v>
      </c>
      <c r="B46" s="83" t="s">
        <v>1566</v>
      </c>
    </row>
    <row r="47" spans="1:2">
      <c r="A47" s="83" t="s">
        <v>2155</v>
      </c>
      <c r="B47" s="83" t="s">
        <v>1574</v>
      </c>
    </row>
    <row r="48" spans="1:2">
      <c r="A48" s="83" t="s">
        <v>2156</v>
      </c>
      <c r="B48" s="83" t="s">
        <v>1575</v>
      </c>
    </row>
    <row r="49" spans="1:2">
      <c r="A49" s="83" t="s">
        <v>2153</v>
      </c>
      <c r="B49" s="83" t="s">
        <v>1572</v>
      </c>
    </row>
    <row r="50" spans="1:2">
      <c r="A50" s="281" t="s">
        <v>4873</v>
      </c>
      <c r="B50" s="281" t="s">
        <v>1500</v>
      </c>
    </row>
    <row r="51" spans="1:2">
      <c r="A51" s="83" t="s">
        <v>2154</v>
      </c>
      <c r="B51" s="83" t="s">
        <v>1573</v>
      </c>
    </row>
    <row r="52" spans="1:2">
      <c r="A52" s="83" t="s">
        <v>2158</v>
      </c>
      <c r="B52" s="83" t="s">
        <v>1577</v>
      </c>
    </row>
    <row r="53" spans="1:2">
      <c r="A53" s="83" t="s">
        <v>2151</v>
      </c>
      <c r="B53" s="83" t="s">
        <v>1570</v>
      </c>
    </row>
    <row r="54" spans="1:2">
      <c r="A54" s="83" t="s">
        <v>2203</v>
      </c>
      <c r="B54" s="83" t="s">
        <v>1623</v>
      </c>
    </row>
    <row r="55" spans="1:2">
      <c r="A55" s="83" t="s">
        <v>2159</v>
      </c>
      <c r="B55" s="83" t="s">
        <v>1578</v>
      </c>
    </row>
    <row r="56" spans="1:2">
      <c r="A56" s="83" t="s">
        <v>2162</v>
      </c>
      <c r="B56" s="83" t="s">
        <v>1581</v>
      </c>
    </row>
    <row r="57" spans="1:2">
      <c r="A57" s="83" t="s">
        <v>2163</v>
      </c>
      <c r="B57" s="83" t="s">
        <v>1582</v>
      </c>
    </row>
    <row r="58" spans="1:2">
      <c r="A58" s="83" t="s">
        <v>2167</v>
      </c>
      <c r="B58" s="83" t="s">
        <v>1586</v>
      </c>
    </row>
    <row r="59" spans="1:2">
      <c r="A59" s="83" t="s">
        <v>2165</v>
      </c>
      <c r="B59" s="83" t="s">
        <v>1584</v>
      </c>
    </row>
    <row r="60" spans="1:2">
      <c r="A60" s="83" t="s">
        <v>2166</v>
      </c>
      <c r="B60" s="83" t="s">
        <v>1585</v>
      </c>
    </row>
    <row r="61" spans="1:2">
      <c r="A61" s="83" t="s">
        <v>2168</v>
      </c>
      <c r="B61" s="83" t="s">
        <v>1587</v>
      </c>
    </row>
    <row r="62" spans="1:2">
      <c r="A62" s="83" t="s">
        <v>1720</v>
      </c>
      <c r="B62" s="83" t="s">
        <v>2081</v>
      </c>
    </row>
    <row r="63" spans="1:2">
      <c r="A63" s="83" t="s">
        <v>2170</v>
      </c>
      <c r="B63" s="83" t="s">
        <v>1589</v>
      </c>
    </row>
    <row r="64" spans="1:2">
      <c r="A64" s="83" t="s">
        <v>2171</v>
      </c>
      <c r="B64" s="83" t="s">
        <v>1590</v>
      </c>
    </row>
    <row r="65" spans="1:2">
      <c r="A65" s="83" t="s">
        <v>1701</v>
      </c>
      <c r="B65" s="83" t="s">
        <v>2062</v>
      </c>
    </row>
    <row r="66" spans="1:2">
      <c r="A66" s="83" t="s">
        <v>2192</v>
      </c>
      <c r="B66" s="83" t="s">
        <v>1612</v>
      </c>
    </row>
    <row r="67" spans="1:2">
      <c r="A67" s="83" t="s">
        <v>2172</v>
      </c>
      <c r="B67" s="83" t="s">
        <v>1591</v>
      </c>
    </row>
    <row r="68" spans="1:2">
      <c r="A68" s="83" t="s">
        <v>2175</v>
      </c>
      <c r="B68" s="83" t="s">
        <v>1594</v>
      </c>
    </row>
    <row r="69" spans="1:2">
      <c r="A69" s="83" t="s">
        <v>2176</v>
      </c>
      <c r="B69" s="83" t="s">
        <v>1595</v>
      </c>
    </row>
    <row r="70" spans="1:2">
      <c r="A70" s="83" t="s">
        <v>2179</v>
      </c>
      <c r="B70" s="83" t="s">
        <v>1598</v>
      </c>
    </row>
    <row r="71" spans="1:2">
      <c r="A71" s="83" t="s">
        <v>2181</v>
      </c>
      <c r="B71" s="83" t="s">
        <v>1600</v>
      </c>
    </row>
    <row r="72" spans="1:2">
      <c r="A72" s="83" t="s">
        <v>2178</v>
      </c>
      <c r="B72" s="83" t="s">
        <v>1597</v>
      </c>
    </row>
    <row r="73" spans="1:2">
      <c r="A73" s="83" t="s">
        <v>2177</v>
      </c>
      <c r="B73" s="83" t="s">
        <v>1596</v>
      </c>
    </row>
    <row r="74" spans="1:2">
      <c r="A74" s="83" t="s">
        <v>2180</v>
      </c>
      <c r="B74" s="83" t="s">
        <v>1599</v>
      </c>
    </row>
    <row r="75" spans="1:2">
      <c r="A75" s="83" t="s">
        <v>2183</v>
      </c>
      <c r="B75" s="83" t="s">
        <v>1602</v>
      </c>
    </row>
    <row r="76" spans="1:2">
      <c r="A76" s="83" t="s">
        <v>2197</v>
      </c>
      <c r="B76" s="83" t="s">
        <v>1617</v>
      </c>
    </row>
    <row r="77" spans="1:2">
      <c r="A77" s="83" t="s">
        <v>1686</v>
      </c>
      <c r="B77" s="83" t="s">
        <v>2047</v>
      </c>
    </row>
    <row r="78" spans="1:2">
      <c r="A78" s="83" t="s">
        <v>2122</v>
      </c>
      <c r="B78" s="83" t="s">
        <v>1540</v>
      </c>
    </row>
    <row r="79" spans="1:2">
      <c r="A79" s="83" t="s">
        <v>2184</v>
      </c>
      <c r="B79" s="83" t="s">
        <v>1603</v>
      </c>
    </row>
    <row r="80" spans="1:2">
      <c r="A80" s="83" t="s">
        <v>2190</v>
      </c>
      <c r="B80" s="83" t="s">
        <v>1610</v>
      </c>
    </row>
    <row r="81" spans="1:2">
      <c r="A81" s="83" t="s">
        <v>2185</v>
      </c>
      <c r="B81" s="83" t="s">
        <v>1605</v>
      </c>
    </row>
    <row r="82" spans="1:2">
      <c r="A82" s="83" t="s">
        <v>2164</v>
      </c>
      <c r="B82" s="83" t="s">
        <v>1583</v>
      </c>
    </row>
    <row r="83" spans="1:2">
      <c r="A83" s="83" t="s">
        <v>2186</v>
      </c>
      <c r="B83" s="83" t="s">
        <v>1606</v>
      </c>
    </row>
    <row r="84" spans="1:2">
      <c r="A84" s="83" t="s">
        <v>2187</v>
      </c>
      <c r="B84" s="83" t="s">
        <v>1607</v>
      </c>
    </row>
    <row r="85" spans="1:2">
      <c r="A85" s="83" t="s">
        <v>2193</v>
      </c>
      <c r="B85" s="83" t="s">
        <v>1613</v>
      </c>
    </row>
    <row r="86" spans="1:2">
      <c r="A86" s="83" t="s">
        <v>2195</v>
      </c>
      <c r="B86" s="83" t="s">
        <v>1615</v>
      </c>
    </row>
    <row r="87" spans="1:2">
      <c r="A87" s="83" t="s">
        <v>2194</v>
      </c>
      <c r="B87" s="83" t="s">
        <v>1614</v>
      </c>
    </row>
    <row r="88" spans="1:2">
      <c r="A88" s="83" t="s">
        <v>2189</v>
      </c>
      <c r="B88" s="83" t="s">
        <v>1609</v>
      </c>
    </row>
    <row r="89" spans="1:2">
      <c r="A89" s="83" t="s">
        <v>2198</v>
      </c>
      <c r="B89" s="83" t="s">
        <v>1618</v>
      </c>
    </row>
    <row r="90" spans="1:2">
      <c r="A90" s="83" t="s">
        <v>2196</v>
      </c>
      <c r="B90" s="83" t="s">
        <v>1616</v>
      </c>
    </row>
    <row r="91" spans="1:2">
      <c r="A91" s="83" t="s">
        <v>2188</v>
      </c>
      <c r="B91" s="83" t="s">
        <v>1608</v>
      </c>
    </row>
    <row r="92" spans="1:2">
      <c r="A92" s="83" t="s">
        <v>2191</v>
      </c>
      <c r="B92" s="83" t="s">
        <v>1611</v>
      </c>
    </row>
    <row r="93" spans="1:2">
      <c r="A93" s="83" t="s">
        <v>2199</v>
      </c>
      <c r="B93" s="83" t="s">
        <v>1619</v>
      </c>
    </row>
    <row r="94" spans="1:2">
      <c r="A94" s="83" t="s">
        <v>2204</v>
      </c>
      <c r="B94" s="83" t="s">
        <v>1624</v>
      </c>
    </row>
    <row r="95" spans="1:2">
      <c r="A95" s="83" t="s">
        <v>2201</v>
      </c>
      <c r="B95" s="83" t="s">
        <v>1621</v>
      </c>
    </row>
    <row r="96" spans="1:2">
      <c r="A96" s="83" t="s">
        <v>2202</v>
      </c>
      <c r="B96" s="83" t="s">
        <v>1622</v>
      </c>
    </row>
    <row r="97" spans="1:2">
      <c r="A97" s="83" t="s">
        <v>2200</v>
      </c>
      <c r="B97" s="83" t="s">
        <v>1620</v>
      </c>
    </row>
    <row r="98" spans="1:2">
      <c r="A98" s="83" t="s">
        <v>2205</v>
      </c>
      <c r="B98" s="83" t="s">
        <v>1625</v>
      </c>
    </row>
    <row r="99" spans="1:2">
      <c r="A99" s="83" t="s">
        <v>2212</v>
      </c>
      <c r="B99" s="83" t="s">
        <v>1632</v>
      </c>
    </row>
    <row r="100" spans="1:2">
      <c r="A100" s="83" t="s">
        <v>2207</v>
      </c>
      <c r="B100" s="83" t="s">
        <v>1627</v>
      </c>
    </row>
    <row r="101" spans="1:2">
      <c r="A101" s="83" t="s">
        <v>2206</v>
      </c>
      <c r="B101" s="83" t="s">
        <v>1626</v>
      </c>
    </row>
    <row r="102" spans="1:2">
      <c r="A102" s="83" t="s">
        <v>2210</v>
      </c>
      <c r="B102" s="83" t="s">
        <v>1630</v>
      </c>
    </row>
    <row r="103" spans="1:2">
      <c r="A103" s="83" t="s">
        <v>2211</v>
      </c>
      <c r="B103" s="83" t="s">
        <v>1631</v>
      </c>
    </row>
    <row r="104" spans="1:2">
      <c r="A104" s="83" t="s">
        <v>2209</v>
      </c>
      <c r="B104" s="83" t="s">
        <v>1629</v>
      </c>
    </row>
    <row r="105" spans="1:2">
      <c r="A105" s="83" t="s">
        <v>2213</v>
      </c>
      <c r="B105" s="83" t="s">
        <v>1633</v>
      </c>
    </row>
    <row r="106" spans="1:2">
      <c r="A106" s="83" t="s">
        <v>2214</v>
      </c>
      <c r="B106" s="83" t="s">
        <v>1634</v>
      </c>
    </row>
    <row r="107" spans="1:2">
      <c r="A107" s="83" t="s">
        <v>2215</v>
      </c>
      <c r="B107" s="83" t="s">
        <v>1635</v>
      </c>
    </row>
    <row r="108" spans="1:2">
      <c r="A108" s="83" t="s">
        <v>2217</v>
      </c>
      <c r="B108" s="83" t="s">
        <v>1637</v>
      </c>
    </row>
    <row r="109" spans="1:2">
      <c r="A109" s="83" t="s">
        <v>2216</v>
      </c>
      <c r="B109" s="83" t="s">
        <v>1636</v>
      </c>
    </row>
    <row r="110" spans="1:2">
      <c r="A110" s="83" t="s">
        <v>2218</v>
      </c>
      <c r="B110" s="83" t="s">
        <v>1638</v>
      </c>
    </row>
    <row r="111" spans="1:2">
      <c r="A111" s="83" t="s">
        <v>2219</v>
      </c>
      <c r="B111" s="83" t="s">
        <v>1639</v>
      </c>
    </row>
    <row r="112" spans="1:2">
      <c r="A112" s="83" t="s">
        <v>2222</v>
      </c>
      <c r="B112" s="83" t="s">
        <v>1642</v>
      </c>
    </row>
    <row r="113" spans="1:2">
      <c r="A113" s="281" t="s">
        <v>4875</v>
      </c>
      <c r="B113" s="83" t="s">
        <v>2044</v>
      </c>
    </row>
    <row r="114" spans="1:2">
      <c r="A114" s="281" t="s">
        <v>4876</v>
      </c>
      <c r="B114" s="83" t="s">
        <v>1644</v>
      </c>
    </row>
    <row r="115" spans="1:2">
      <c r="A115" s="83" t="s">
        <v>2225</v>
      </c>
      <c r="B115" s="83" t="s">
        <v>1645</v>
      </c>
    </row>
    <row r="116" spans="1:2">
      <c r="A116" s="83" t="s">
        <v>2220</v>
      </c>
      <c r="B116" s="83" t="s">
        <v>1640</v>
      </c>
    </row>
    <row r="117" spans="1:2">
      <c r="A117" s="83" t="s">
        <v>2226</v>
      </c>
      <c r="B117" s="83" t="s">
        <v>1646</v>
      </c>
    </row>
    <row r="118" spans="1:2">
      <c r="A118" s="83" t="s">
        <v>2236</v>
      </c>
      <c r="B118" s="83" t="s">
        <v>1656</v>
      </c>
    </row>
    <row r="119" spans="1:2">
      <c r="A119" s="83" t="s">
        <v>2227</v>
      </c>
      <c r="B119" s="83" t="s">
        <v>1647</v>
      </c>
    </row>
    <row r="120" spans="1:2">
      <c r="A120" s="83" t="s">
        <v>2233</v>
      </c>
      <c r="B120" s="83" t="s">
        <v>1653</v>
      </c>
    </row>
    <row r="121" spans="1:2">
      <c r="A121" s="83" t="s">
        <v>2228</v>
      </c>
      <c r="B121" s="83" t="s">
        <v>1648</v>
      </c>
    </row>
    <row r="122" spans="1:2">
      <c r="A122" s="83" t="s">
        <v>2229</v>
      </c>
      <c r="B122" s="83" t="s">
        <v>1649</v>
      </c>
    </row>
    <row r="123" spans="1:2">
      <c r="A123" s="83" t="s">
        <v>2231</v>
      </c>
      <c r="B123" s="83" t="s">
        <v>1651</v>
      </c>
    </row>
    <row r="124" spans="1:2">
      <c r="A124" s="83" t="s">
        <v>2234</v>
      </c>
      <c r="B124" s="83" t="s">
        <v>1654</v>
      </c>
    </row>
    <row r="125" spans="1:2">
      <c r="A125" s="83" t="s">
        <v>2235</v>
      </c>
      <c r="B125" s="83" t="s">
        <v>1655</v>
      </c>
    </row>
    <row r="126" spans="1:2">
      <c r="A126" s="83" t="s">
        <v>2237</v>
      </c>
      <c r="B126" s="83" t="s">
        <v>1657</v>
      </c>
    </row>
    <row r="127" spans="1:2">
      <c r="A127" s="281" t="s">
        <v>4877</v>
      </c>
      <c r="B127" s="83" t="s">
        <v>1665</v>
      </c>
    </row>
    <row r="128" spans="1:2">
      <c r="A128" s="83" t="s">
        <v>2241</v>
      </c>
      <c r="B128" s="83" t="s">
        <v>1661</v>
      </c>
    </row>
    <row r="129" spans="1:2">
      <c r="A129" s="83" t="s">
        <v>2255</v>
      </c>
      <c r="B129" s="83" t="s">
        <v>1676</v>
      </c>
    </row>
    <row r="130" spans="1:2">
      <c r="A130" s="83" t="s">
        <v>2256</v>
      </c>
      <c r="B130" s="83" t="s">
        <v>2020</v>
      </c>
    </row>
    <row r="131" spans="1:2">
      <c r="A131" s="83" t="s">
        <v>2242</v>
      </c>
      <c r="B131" s="83" t="s">
        <v>1662</v>
      </c>
    </row>
    <row r="132" spans="1:2">
      <c r="A132" s="83" t="s">
        <v>2245</v>
      </c>
      <c r="B132" s="83" t="s">
        <v>1666</v>
      </c>
    </row>
    <row r="133" spans="1:2">
      <c r="A133" s="83" t="s">
        <v>2246</v>
      </c>
      <c r="B133" s="83" t="s">
        <v>1667</v>
      </c>
    </row>
    <row r="134" spans="1:2">
      <c r="A134" s="83" t="s">
        <v>2244</v>
      </c>
      <c r="B134" s="83" t="s">
        <v>1664</v>
      </c>
    </row>
    <row r="135" spans="1:2">
      <c r="A135" s="83" t="s">
        <v>2253</v>
      </c>
      <c r="B135" s="83" t="s">
        <v>1674</v>
      </c>
    </row>
    <row r="136" spans="1:2">
      <c r="A136" s="83" t="s">
        <v>2251</v>
      </c>
      <c r="B136" s="83" t="s">
        <v>1672</v>
      </c>
    </row>
    <row r="137" spans="1:2">
      <c r="A137" s="83" t="s">
        <v>2254</v>
      </c>
      <c r="B137" s="83" t="s">
        <v>1675</v>
      </c>
    </row>
    <row r="138" spans="1:2">
      <c r="A138" s="83" t="s">
        <v>2257</v>
      </c>
      <c r="B138" s="83" t="s">
        <v>2021</v>
      </c>
    </row>
    <row r="139" spans="1:2">
      <c r="A139" s="83" t="s">
        <v>2243</v>
      </c>
      <c r="B139" s="83" t="s">
        <v>1663</v>
      </c>
    </row>
    <row r="140" spans="1:2">
      <c r="A140" s="83" t="s">
        <v>2182</v>
      </c>
      <c r="B140" s="83" t="s">
        <v>1601</v>
      </c>
    </row>
    <row r="141" spans="1:2">
      <c r="A141" s="83" t="s">
        <v>2240</v>
      </c>
      <c r="B141" s="83" t="s">
        <v>1660</v>
      </c>
    </row>
    <row r="142" spans="1:2">
      <c r="A142" s="83" t="s">
        <v>2239</v>
      </c>
      <c r="B142" s="83" t="s">
        <v>1659</v>
      </c>
    </row>
    <row r="143" spans="1:2">
      <c r="A143" s="83" t="s">
        <v>2248</v>
      </c>
      <c r="B143" s="83" t="s">
        <v>1669</v>
      </c>
    </row>
    <row r="144" spans="1:2">
      <c r="A144" s="83" t="s">
        <v>2252</v>
      </c>
      <c r="B144" s="83" t="s">
        <v>1673</v>
      </c>
    </row>
    <row r="145" spans="1:2">
      <c r="A145" s="83" t="s">
        <v>2238</v>
      </c>
      <c r="B145" s="83" t="s">
        <v>1658</v>
      </c>
    </row>
    <row r="146" spans="1:2">
      <c r="A146" s="83" t="s">
        <v>2250</v>
      </c>
      <c r="B146" s="83" t="s">
        <v>1671</v>
      </c>
    </row>
    <row r="147" spans="1:2">
      <c r="A147" s="83" t="s">
        <v>2247</v>
      </c>
      <c r="B147" s="83" t="s">
        <v>1668</v>
      </c>
    </row>
    <row r="148" spans="1:2">
      <c r="A148" s="83" t="s">
        <v>2258</v>
      </c>
      <c r="B148" s="83" t="s">
        <v>2022</v>
      </c>
    </row>
    <row r="149" spans="1:2">
      <c r="A149" s="83" t="s">
        <v>2268</v>
      </c>
      <c r="B149" s="83" t="s">
        <v>2032</v>
      </c>
    </row>
    <row r="150" spans="1:2">
      <c r="A150" s="83" t="s">
        <v>2267</v>
      </c>
      <c r="B150" s="83" t="s">
        <v>2031</v>
      </c>
    </row>
    <row r="151" spans="1:2">
      <c r="A151" s="83" t="s">
        <v>2265</v>
      </c>
      <c r="B151" s="83" t="s">
        <v>2029</v>
      </c>
    </row>
    <row r="152" spans="1:2">
      <c r="A152" s="83" t="s">
        <v>2116</v>
      </c>
      <c r="B152" s="83" t="s">
        <v>1534</v>
      </c>
    </row>
    <row r="153" spans="1:2">
      <c r="A153" s="83" t="s">
        <v>2259</v>
      </c>
      <c r="B153" s="83" t="s">
        <v>2023</v>
      </c>
    </row>
    <row r="154" spans="1:2">
      <c r="A154" s="83" t="s">
        <v>2269</v>
      </c>
      <c r="B154" s="83" t="s">
        <v>2033</v>
      </c>
    </row>
    <row r="155" spans="1:2">
      <c r="A155" s="83" t="s">
        <v>2263</v>
      </c>
      <c r="B155" s="83" t="s">
        <v>2027</v>
      </c>
    </row>
    <row r="156" spans="1:2">
      <c r="A156" s="83" t="s">
        <v>2260</v>
      </c>
      <c r="B156" s="83" t="s">
        <v>2024</v>
      </c>
    </row>
    <row r="157" spans="1:2">
      <c r="A157" s="83" t="s">
        <v>2262</v>
      </c>
      <c r="B157" s="83" t="s">
        <v>2026</v>
      </c>
    </row>
    <row r="158" spans="1:2">
      <c r="A158" s="83" t="s">
        <v>2264</v>
      </c>
      <c r="B158" s="83" t="s">
        <v>2028</v>
      </c>
    </row>
    <row r="159" spans="1:2">
      <c r="A159" s="83" t="s">
        <v>2261</v>
      </c>
      <c r="B159" s="83" t="s">
        <v>2025</v>
      </c>
    </row>
    <row r="160" spans="1:2">
      <c r="A160" s="83" t="s">
        <v>2249</v>
      </c>
      <c r="B160" s="83" t="s">
        <v>1670</v>
      </c>
    </row>
    <row r="161" spans="1:2">
      <c r="A161" s="83" t="s">
        <v>2266</v>
      </c>
      <c r="B161" s="83" t="s">
        <v>2030</v>
      </c>
    </row>
    <row r="162" spans="1:2">
      <c r="A162" s="83" t="s">
        <v>2270</v>
      </c>
      <c r="B162" s="83" t="s">
        <v>2034</v>
      </c>
    </row>
    <row r="163" spans="1:2">
      <c r="A163" s="83" t="s">
        <v>2271</v>
      </c>
      <c r="B163" s="83" t="s">
        <v>2035</v>
      </c>
    </row>
    <row r="164" spans="1:2">
      <c r="A164" s="83" t="s">
        <v>1680</v>
      </c>
      <c r="B164" s="83" t="s">
        <v>2040</v>
      </c>
    </row>
    <row r="165" spans="1:2">
      <c r="A165" s="83" t="s">
        <v>2272</v>
      </c>
      <c r="B165" s="83" t="s">
        <v>2036</v>
      </c>
    </row>
    <row r="166" spans="1:2">
      <c r="A166" s="83" t="s">
        <v>1681</v>
      </c>
      <c r="B166" s="83" t="s">
        <v>2041</v>
      </c>
    </row>
    <row r="167" spans="1:2">
      <c r="A167" s="83" t="s">
        <v>1685</v>
      </c>
      <c r="B167" s="83" t="s">
        <v>2046</v>
      </c>
    </row>
    <row r="168" spans="1:2">
      <c r="A168" s="83" t="s">
        <v>1678</v>
      </c>
      <c r="B168" s="83" t="s">
        <v>2038</v>
      </c>
    </row>
    <row r="169" spans="1:2">
      <c r="A169" s="83" t="s">
        <v>1679</v>
      </c>
      <c r="B169" s="83" t="s">
        <v>2039</v>
      </c>
    </row>
    <row r="170" spans="1:2">
      <c r="A170" s="83" t="s">
        <v>2273</v>
      </c>
      <c r="B170" s="83" t="s">
        <v>2037</v>
      </c>
    </row>
    <row r="171" spans="1:2">
      <c r="A171" s="83" t="s">
        <v>1682</v>
      </c>
      <c r="B171" s="83" t="s">
        <v>2042</v>
      </c>
    </row>
    <row r="172" spans="1:2">
      <c r="A172" s="83" t="s">
        <v>1684</v>
      </c>
      <c r="B172" s="83" t="s">
        <v>2045</v>
      </c>
    </row>
    <row r="173" spans="1:2">
      <c r="A173" s="83" t="s">
        <v>1683</v>
      </c>
      <c r="B173" s="83" t="s">
        <v>2043</v>
      </c>
    </row>
    <row r="174" spans="1:2">
      <c r="A174" s="83" t="s">
        <v>1687</v>
      </c>
      <c r="B174" s="83" t="s">
        <v>2048</v>
      </c>
    </row>
    <row r="175" spans="1:2">
      <c r="A175" s="83" t="s">
        <v>1688</v>
      </c>
      <c r="B175" s="83" t="s">
        <v>2049</v>
      </c>
    </row>
    <row r="176" spans="1:2">
      <c r="A176" s="83" t="s">
        <v>1689</v>
      </c>
      <c r="B176" s="83" t="s">
        <v>2050</v>
      </c>
    </row>
    <row r="177" spans="1:2">
      <c r="A177" s="83" t="s">
        <v>1690</v>
      </c>
      <c r="B177" s="83" t="s">
        <v>2051</v>
      </c>
    </row>
    <row r="178" spans="1:2">
      <c r="A178" s="83" t="s">
        <v>1691</v>
      </c>
      <c r="B178" s="83" t="s">
        <v>2052</v>
      </c>
    </row>
    <row r="179" spans="1:2">
      <c r="A179" s="83" t="s">
        <v>2223</v>
      </c>
      <c r="B179" s="83" t="s">
        <v>1643</v>
      </c>
    </row>
    <row r="180" spans="1:2">
      <c r="A180" s="83" t="s">
        <v>2230</v>
      </c>
      <c r="B180" s="83" t="s">
        <v>1650</v>
      </c>
    </row>
    <row r="181" spans="1:2">
      <c r="A181" s="83" t="s">
        <v>1733</v>
      </c>
      <c r="B181" s="83" t="s">
        <v>2096</v>
      </c>
    </row>
    <row r="182" spans="1:2">
      <c r="A182" s="83" t="s">
        <v>1740</v>
      </c>
      <c r="B182" s="83" t="s">
        <v>2103</v>
      </c>
    </row>
    <row r="183" spans="1:2">
      <c r="A183" s="83" t="s">
        <v>1702</v>
      </c>
      <c r="B183" s="83" t="s">
        <v>2063</v>
      </c>
    </row>
    <row r="184" spans="1:2">
      <c r="A184" s="83" t="s">
        <v>1705</v>
      </c>
      <c r="B184" s="83" t="s">
        <v>2066</v>
      </c>
    </row>
    <row r="185" spans="1:2">
      <c r="A185" s="83" t="s">
        <v>1692</v>
      </c>
      <c r="B185" s="83" t="s">
        <v>2053</v>
      </c>
    </row>
    <row r="186" spans="1:2">
      <c r="A186" s="83" t="s">
        <v>1694</v>
      </c>
      <c r="B186" s="83" t="s">
        <v>2055</v>
      </c>
    </row>
    <row r="187" spans="1:2">
      <c r="A187" s="83" t="s">
        <v>1711</v>
      </c>
      <c r="B187" s="83" t="s">
        <v>2072</v>
      </c>
    </row>
    <row r="188" spans="1:2">
      <c r="A188" s="83" t="s">
        <v>1700</v>
      </c>
      <c r="B188" s="83" t="s">
        <v>2061</v>
      </c>
    </row>
    <row r="189" spans="1:2">
      <c r="A189" s="83" t="s">
        <v>1695</v>
      </c>
      <c r="B189" s="83" t="s">
        <v>2056</v>
      </c>
    </row>
    <row r="190" spans="1:2">
      <c r="A190" s="83" t="s">
        <v>1707</v>
      </c>
      <c r="B190" s="83" t="s">
        <v>2068</v>
      </c>
    </row>
    <row r="191" spans="1:2">
      <c r="A191" s="83" t="s">
        <v>1708</v>
      </c>
      <c r="B191" s="83" t="s">
        <v>2069</v>
      </c>
    </row>
    <row r="192" spans="1:2">
      <c r="A192" s="83" t="s">
        <v>1699</v>
      </c>
      <c r="B192" s="83" t="s">
        <v>2060</v>
      </c>
    </row>
    <row r="193" spans="1:2">
      <c r="A193" s="83" t="s">
        <v>1703</v>
      </c>
      <c r="B193" s="83" t="s">
        <v>2064</v>
      </c>
    </row>
    <row r="194" spans="1:2">
      <c r="A194" s="83" t="s">
        <v>1743</v>
      </c>
      <c r="B194" s="83" t="s">
        <v>2106</v>
      </c>
    </row>
    <row r="195" spans="1:2">
      <c r="A195" s="83" t="s">
        <v>1696</v>
      </c>
      <c r="B195" s="83" t="s">
        <v>2057</v>
      </c>
    </row>
    <row r="196" spans="1:2">
      <c r="A196" s="83" t="s">
        <v>2174</v>
      </c>
      <c r="B196" s="83" t="s">
        <v>1593</v>
      </c>
    </row>
    <row r="197" spans="1:2">
      <c r="A197" s="83" t="s">
        <v>2232</v>
      </c>
      <c r="B197" s="83" t="s">
        <v>1652</v>
      </c>
    </row>
    <row r="198" spans="1:2">
      <c r="A198" s="83" t="s">
        <v>1697</v>
      </c>
      <c r="B198" s="83" t="s">
        <v>2058</v>
      </c>
    </row>
    <row r="199" spans="1:2">
      <c r="A199" s="83" t="s">
        <v>1704</v>
      </c>
      <c r="B199" s="83" t="s">
        <v>2065</v>
      </c>
    </row>
    <row r="200" spans="1:2">
      <c r="A200" s="83" t="s">
        <v>1693</v>
      </c>
      <c r="B200" s="83" t="s">
        <v>2054</v>
      </c>
    </row>
    <row r="201" spans="1:2">
      <c r="A201" s="83" t="s">
        <v>1706</v>
      </c>
      <c r="B201" s="83" t="s">
        <v>2067</v>
      </c>
    </row>
    <row r="202" spans="1:2">
      <c r="A202" s="83" t="s">
        <v>1698</v>
      </c>
      <c r="B202" s="83" t="s">
        <v>2059</v>
      </c>
    </row>
    <row r="203" spans="1:2">
      <c r="A203" s="83" t="s">
        <v>1710</v>
      </c>
      <c r="B203" s="83" t="s">
        <v>2071</v>
      </c>
    </row>
    <row r="204" spans="1:2">
      <c r="A204" s="83" t="s">
        <v>1709</v>
      </c>
      <c r="B204" s="83" t="s">
        <v>2070</v>
      </c>
    </row>
    <row r="205" spans="1:2">
      <c r="A205" s="83" t="s">
        <v>2148</v>
      </c>
      <c r="B205" s="83" t="s">
        <v>1567</v>
      </c>
    </row>
    <row r="206" spans="1:2">
      <c r="A206" s="83" t="s">
        <v>1712</v>
      </c>
      <c r="B206" s="83" t="s">
        <v>2073</v>
      </c>
    </row>
    <row r="207" spans="1:2">
      <c r="A207" s="281" t="s">
        <v>4878</v>
      </c>
      <c r="B207" s="83" t="s">
        <v>2087</v>
      </c>
    </row>
    <row r="208" spans="1:2">
      <c r="A208" s="83" t="s">
        <v>1717</v>
      </c>
      <c r="B208" s="83" t="s">
        <v>2078</v>
      </c>
    </row>
    <row r="209" spans="1:2">
      <c r="A209" s="83" t="s">
        <v>1726</v>
      </c>
      <c r="B209" s="83" t="s">
        <v>2088</v>
      </c>
    </row>
    <row r="210" spans="1:2">
      <c r="A210" s="83" t="s">
        <v>1716</v>
      </c>
      <c r="B210" s="83" t="s">
        <v>2077</v>
      </c>
    </row>
    <row r="211" spans="1:2">
      <c r="A211" s="83" t="s">
        <v>1715</v>
      </c>
      <c r="B211" s="83" t="s">
        <v>2076</v>
      </c>
    </row>
    <row r="212" spans="1:2">
      <c r="A212" s="83" t="s">
        <v>1718</v>
      </c>
      <c r="B212" s="83" t="s">
        <v>2079</v>
      </c>
    </row>
    <row r="213" spans="1:2">
      <c r="A213" s="83" t="s">
        <v>1721</v>
      </c>
      <c r="B213" s="83" t="s">
        <v>2082</v>
      </c>
    </row>
    <row r="214" spans="1:2">
      <c r="A214" s="83" t="s">
        <v>1722</v>
      </c>
      <c r="B214" s="83" t="s">
        <v>2083</v>
      </c>
    </row>
    <row r="215" spans="1:2">
      <c r="A215" s="83" t="s">
        <v>1723</v>
      </c>
      <c r="B215" s="83" t="s">
        <v>2084</v>
      </c>
    </row>
    <row r="216" spans="1:2">
      <c r="A216" s="83" t="s">
        <v>1724</v>
      </c>
      <c r="B216" s="83" t="s">
        <v>2085</v>
      </c>
    </row>
    <row r="217" spans="1:2">
      <c r="A217" s="83" t="s">
        <v>1719</v>
      </c>
      <c r="B217" s="83" t="s">
        <v>2080</v>
      </c>
    </row>
    <row r="218" spans="1:2">
      <c r="A218" s="83" t="s">
        <v>1713</v>
      </c>
      <c r="B218" s="83" t="s">
        <v>2074</v>
      </c>
    </row>
    <row r="219" spans="1:2">
      <c r="A219" s="83" t="s">
        <v>1725</v>
      </c>
      <c r="B219" s="83" t="s">
        <v>2086</v>
      </c>
    </row>
    <row r="220" spans="1:2">
      <c r="A220" s="83" t="s">
        <v>1727</v>
      </c>
      <c r="B220" s="83" t="s">
        <v>2089</v>
      </c>
    </row>
    <row r="221" spans="1:2">
      <c r="A221" s="83" t="s">
        <v>1728</v>
      </c>
      <c r="B221" s="83" t="s">
        <v>2090</v>
      </c>
    </row>
    <row r="222" spans="1:2">
      <c r="A222" s="83" t="s">
        <v>2117</v>
      </c>
      <c r="B222" s="83" t="s">
        <v>1535</v>
      </c>
    </row>
    <row r="223" spans="1:2">
      <c r="A223" s="281" t="s">
        <v>4879</v>
      </c>
      <c r="B223" s="83" t="s">
        <v>1604</v>
      </c>
    </row>
    <row r="224" spans="1:2">
      <c r="A224" s="281" t="s">
        <v>4880</v>
      </c>
      <c r="B224" s="83" t="s">
        <v>2093</v>
      </c>
    </row>
    <row r="225" spans="1:2">
      <c r="A225" s="83" t="s">
        <v>1729</v>
      </c>
      <c r="B225" s="83" t="s">
        <v>2091</v>
      </c>
    </row>
    <row r="226" spans="1:2">
      <c r="A226" s="83" t="s">
        <v>1730</v>
      </c>
      <c r="B226" s="83" t="s">
        <v>2092</v>
      </c>
    </row>
    <row r="227" spans="1:2">
      <c r="A227" s="83" t="s">
        <v>1731</v>
      </c>
      <c r="B227" s="83" t="s">
        <v>2094</v>
      </c>
    </row>
    <row r="228" spans="1:2">
      <c r="A228" s="83" t="s">
        <v>1738</v>
      </c>
      <c r="B228" s="83" t="s">
        <v>2101</v>
      </c>
    </row>
    <row r="229" spans="1:2">
      <c r="A229" s="83" t="s">
        <v>1732</v>
      </c>
      <c r="B229" s="83" t="s">
        <v>2095</v>
      </c>
    </row>
    <row r="230" spans="1:2">
      <c r="A230" s="83" t="s">
        <v>1734</v>
      </c>
      <c r="B230" s="83" t="s">
        <v>2097</v>
      </c>
    </row>
    <row r="231" spans="1:2">
      <c r="A231" s="83" t="s">
        <v>1737</v>
      </c>
      <c r="B231" s="83" t="s">
        <v>2100</v>
      </c>
    </row>
    <row r="232" spans="1:2">
      <c r="A232" s="83" t="s">
        <v>1735</v>
      </c>
      <c r="B232" s="83" t="s">
        <v>2098</v>
      </c>
    </row>
    <row r="233" spans="1:2">
      <c r="A233" s="83" t="s">
        <v>1736</v>
      </c>
      <c r="B233" s="83" t="s">
        <v>2099</v>
      </c>
    </row>
    <row r="234" spans="1:2">
      <c r="A234" s="83" t="s">
        <v>1739</v>
      </c>
      <c r="B234" s="83" t="s">
        <v>2102</v>
      </c>
    </row>
    <row r="235" spans="1:2">
      <c r="A235" s="83" t="s">
        <v>2173</v>
      </c>
      <c r="B235" s="83" t="s">
        <v>1592</v>
      </c>
    </row>
    <row r="236" spans="1:2">
      <c r="A236" s="83" t="s">
        <v>1741</v>
      </c>
      <c r="B236" s="83" t="s">
        <v>2104</v>
      </c>
    </row>
    <row r="237" spans="1:2">
      <c r="A237" s="83" t="s">
        <v>1742</v>
      </c>
      <c r="B237" s="83" t="s">
        <v>2105</v>
      </c>
    </row>
    <row r="238" spans="1:2">
      <c r="A238" s="83" t="s">
        <v>1744</v>
      </c>
      <c r="B238" s="83" t="s">
        <v>2107</v>
      </c>
    </row>
    <row r="239" spans="1:2">
      <c r="A239" s="83" t="s">
        <v>1745</v>
      </c>
      <c r="B239" s="83" t="s">
        <v>2108</v>
      </c>
    </row>
    <row r="240" spans="1:2">
      <c r="A240" s="83" t="s">
        <v>1746</v>
      </c>
      <c r="B240" s="83" t="s">
        <v>2109</v>
      </c>
    </row>
  </sheetData>
  <phoneticPr fontId="3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1"/>
  <sheetViews>
    <sheetView showGridLines="0" zoomScale="60" zoomScaleNormal="60" workbookViewId="0">
      <selection activeCell="H4" sqref="H4"/>
    </sheetView>
  </sheetViews>
  <sheetFormatPr defaultRowHeight="12.75"/>
  <cols>
    <col min="1" max="1" width="143" customWidth="1"/>
    <col min="2" max="2" width="3" customWidth="1"/>
    <col min="3" max="3" width="8.75" style="125" customWidth="1"/>
  </cols>
  <sheetData>
    <row r="1" spans="1:2" ht="100.5" customHeight="1">
      <c r="A1" s="135" t="str">
        <f ca="1">OFFSET(L!$C$1,MATCH("Instructions"&amp;ADDRESS(ROW(),COLUMN(),4),L!$A:$A,0)-1,SL,,)</f>
        <v>CFSI website: (www.conflictfreesourcing.org)
Training and guidance, template, Conflict-Free Smelter Program compliant smelter list.</v>
      </c>
      <c r="B1" s="126" t="s">
        <v>851</v>
      </c>
    </row>
    <row r="2" spans="1:2" ht="30">
      <c r="A2" s="136" t="str">
        <f ca="1">OFFSET(L!$C$1,MATCH("Instructions"&amp;ADDRESS(ROW(),COLUMN(),4),L!$A:$A,0)-1,SL,,)</f>
        <v>Introduction</v>
      </c>
      <c r="B2" s="126" t="s">
        <v>2518</v>
      </c>
    </row>
    <row r="3" spans="1:2" ht="165">
      <c r="A3" s="133"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v>
      </c>
      <c r="B3" s="126" t="s">
        <v>2519</v>
      </c>
    </row>
    <row r="4" spans="1:2" ht="150">
      <c r="A4" s="133"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26" t="s">
        <v>2525</v>
      </c>
    </row>
    <row r="5" spans="1:2" ht="15">
      <c r="A5" s="137"/>
      <c r="B5" s="126"/>
    </row>
    <row r="6" spans="1:2" ht="30">
      <c r="A6" s="136" t="str">
        <f ca="1">OFFSET(L!$C$1,MATCH("Instructions"&amp;ADDRESS(ROW(),COLUMN(),4),L!$A:$A,0)-1,SL,,)</f>
        <v>Instructions for completing Company Information questions (rows 8 - 22).
Provide comments in ENGLISH only</v>
      </c>
      <c r="B6" s="126" t="s">
        <v>2518</v>
      </c>
    </row>
    <row r="7" spans="1:2" ht="15">
      <c r="A7" s="133" t="str">
        <f ca="1">OFFSET(L!$C$1,MATCH("Instructions"&amp;ADDRESS(ROW(),COLUMN(),4),L!$A:$A,0)-1,SL,,)</f>
        <v xml:space="preserve">Note:  Entries with (*) are mandatory fields. </v>
      </c>
      <c r="B7" s="126"/>
    </row>
    <row r="8" spans="1:2" ht="30">
      <c r="A8" s="133" t="str">
        <f ca="1">OFFSET(L!$C$1,MATCH("Instructions"&amp;ADDRESS(ROW(),COLUMN(),4),L!$A:$A,0)-1,SL,,)</f>
        <v>1. Insert your company's Legal Name.  Please do not use abbreviations. In this field you have the option to add other commercial names, DBAs, etc.</v>
      </c>
      <c r="B8" s="126"/>
    </row>
    <row r="9" spans="1:2" ht="300">
      <c r="A9" s="202"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26" t="s">
        <v>2517</v>
      </c>
    </row>
    <row r="10" spans="1:2" ht="15">
      <c r="A10" s="133" t="str">
        <f ca="1">OFFSET(L!$C$1,MATCH("Instructions"&amp;ADDRESS(ROW(),COLUMN(),4),L!$A:$A,0)-1,SL,,)</f>
        <v>3. Insert your company’s unique identifier number or code (DUNS number, VAT number, customer-specific identifier, etc.)</v>
      </c>
      <c r="B10" s="126"/>
    </row>
    <row r="11" spans="1:2" ht="15">
      <c r="A11" s="133" t="str">
        <f ca="1">OFFSET(L!$C$1,MATCH("Instructions"&amp;ADDRESS(ROW(),COLUMN(),4),L!$A:$A,0)-1,SL,,)</f>
        <v xml:space="preserve">4. Insert the source for the unique identifier number or code ("DUNS", "VAT", "Customer", etc).  </v>
      </c>
      <c r="B11" s="126"/>
    </row>
    <row r="12" spans="1:2" ht="30">
      <c r="A12" s="133" t="str">
        <f ca="1">OFFSET(L!$C$1,MATCH("Instructions"&amp;ADDRESS(ROW(),COLUMN(),4),L!$A:$A,0)-1,SL,,)</f>
        <v>5. Insert your full company address (street, city, state, country, postal code).  This field is optional.</v>
      </c>
      <c r="B12" s="126" t="s">
        <v>2518</v>
      </c>
    </row>
    <row r="13" spans="1:2" ht="15">
      <c r="A13" s="133" t="str">
        <f ca="1">OFFSET(L!$C$1,MATCH("Instructions"&amp;ADDRESS(ROW(),COLUMN(),4),L!$A:$A,0)-1,SL,,)</f>
        <v>6. Insert the name of the person to contact regarding the contents of the declaration information. This field is mandatory.</v>
      </c>
      <c r="B13" s="126"/>
    </row>
    <row r="14" spans="1:2" ht="30">
      <c r="A14" s="133" t="str">
        <f ca="1">OFFSET(L!$C$1,MATCH("Instructions"&amp;ADDRESS(ROW(),COLUMN(),4),L!$A:$A,0)-1,SL,,)</f>
        <v>7. Insert the email address of the contact person.  If an email address is not available, state ‘‘not available’’ or ‘‘n/a.’’ A blank field may cause an error in form implementation.  This field is mandatory.</v>
      </c>
      <c r="B14" s="126"/>
    </row>
    <row r="15" spans="1:2" ht="15">
      <c r="A15" s="133" t="str">
        <f ca="1">OFFSET(L!$C$1,MATCH("Instructions"&amp;ADDRESS(ROW(),COLUMN(),4),L!$A:$A,0)-1,SL,,)</f>
        <v>8. Insert the telephone number for the contact. This field is mandatory.</v>
      </c>
      <c r="B15" s="126"/>
    </row>
    <row r="16" spans="1:2" ht="45">
      <c r="A16" s="133"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26"/>
    </row>
    <row r="17" spans="1:2" ht="15">
      <c r="A17" s="133" t="str">
        <f ca="1">OFFSET(L!$C$1,MATCH("Instructions"&amp;ADDRESS(ROW(),COLUMN(),4),L!$A:$A,0)-1,SL,,)</f>
        <v>10. Insert the title for the Authorizing person. This field is optional.</v>
      </c>
      <c r="B17" s="126"/>
    </row>
    <row r="18" spans="1:2" ht="30">
      <c r="A18" s="133" t="str">
        <f ca="1">OFFSET(L!$C$1,MATCH("Instructions"&amp;ADDRESS(ROW(),COLUMN(),4),L!$A:$A,0)-1,SL,,)</f>
        <v>11. Insert the email address of the Authorizing person.  If an email address is not available, state ‘‘not available’’ or ‘‘n/a.’’ A blank field may cause an error in form implementation.  This field is mandatory.</v>
      </c>
      <c r="B18" s="126"/>
    </row>
    <row r="19" spans="1:2" ht="15">
      <c r="A19" s="133" t="str">
        <f ca="1">OFFSET(L!$C$1,MATCH("Instructions"&amp;ADDRESS(ROW(),COLUMN(),4),L!$A:$A,0)-1,SL,,)</f>
        <v>12. Insert the telephone number for the Authorizing person. This field is mandatory.</v>
      </c>
      <c r="B19" s="126"/>
    </row>
    <row r="20" spans="1:2" ht="15">
      <c r="A20" s="133" t="str">
        <f ca="1">OFFSET(L!$C$1,MATCH("Instructions"&amp;ADDRESS(ROW(),COLUMN(),4),L!$A:$A,0)-1,SL,,)</f>
        <v>13. Please enter the Date of Completion for this form using the format DD-MMM-YYYY.  This field is mandatory.</v>
      </c>
      <c r="B20" s="126"/>
    </row>
    <row r="21" spans="1:2" ht="30">
      <c r="A21" s="133" t="str">
        <f ca="1">OFFSET(L!$C$1,MATCH("Instructions"&amp;ADDRESS(ROW(),COLUMN(),4),L!$A:$A,0)-1,SL,,)</f>
        <v xml:space="preserve">14. As an example, the user may save the file name as:  companyname-date.xls (date as YYYY-MM-DD).  </v>
      </c>
      <c r="B21" s="126" t="s">
        <v>2518</v>
      </c>
    </row>
    <row r="22" spans="1:2" ht="15">
      <c r="A22" s="137"/>
      <c r="B22" s="126"/>
    </row>
    <row r="23" spans="1:2" ht="30">
      <c r="A23" s="136" t="str">
        <f ca="1">OFFSET(L!$C$1,MATCH("Instructions"&amp;ADDRESS(ROW(),COLUMN(),4),L!$A:$A,0)-1,SL,,)</f>
        <v>Instructions for completing the seven Due Diligence Questions (rows 24 - 65).
Provide answers in ENGLISH only</v>
      </c>
      <c r="B23" s="126" t="s">
        <v>2518</v>
      </c>
    </row>
    <row r="24" spans="1:2" ht="75">
      <c r="A24" s="133"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26" t="s">
        <v>2521</v>
      </c>
    </row>
    <row r="25" spans="1:2" ht="60">
      <c r="A25" s="133"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v>
      </c>
      <c r="B25" s="126" t="s">
        <v>2518</v>
      </c>
    </row>
    <row r="26" spans="1:2" ht="195">
      <c r="A26" s="133"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26" t="s">
        <v>2518</v>
      </c>
    </row>
    <row r="27" spans="1:2" ht="30">
      <c r="A27" s="133" t="str">
        <f ca="1">OFFSET(L!$C$1,MATCH("Instructions"&amp;ADDRESS(ROW(),COLUMN(),4),L!$A:$A,0)-1,SL,,)</f>
        <v>Some companies may require substantiation for a "No" answer that should be entered into the Comment Field.</v>
      </c>
      <c r="B27" s="126" t="s">
        <v>2518</v>
      </c>
    </row>
    <row r="28" spans="1:2" ht="195">
      <c r="A28" s="133" t="str">
        <f ca="1">OFFSET(L!$C$1,MATCH("Instructions"&amp;ADDRESS(ROW(),COLUMN(),4),L!$A:$A,0)-1,SL,,)</f>
        <v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v>
      </c>
      <c r="B28" s="126"/>
    </row>
    <row r="29" spans="1:2" ht="105">
      <c r="A29" s="133" t="str">
        <f ca="1">OFFSET(L!$C$1,MATCH("Instructions"&amp;ADDRESS(ROW(),COLUMN(),4),L!$A:$A,0)-1,SL,,)</f>
        <v xml:space="preserve">3. This is a declaration that any portion of the 3TGs contained in a product or multiple products originates from the DRC or an adjoining country (covered countries). 
The answer to this query shall be "yes", "no", or "unknown". Substantiate a "Yes" answer in the comments section.
This question is mandatory for a specific metal if the response to Question 1 or 2 is “Yes” for that metal. </v>
      </c>
      <c r="B29" s="126" t="s">
        <v>2518</v>
      </c>
    </row>
    <row r="30" spans="1:2" ht="135">
      <c r="A30" s="133" t="str">
        <f ca="1">OFFSET(L!$C$1,MATCH("Instructions"&amp;ADDRESS(ROW(),COLUMN(),4),L!$A:$A,0)-1,SL,,)</f>
        <v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26" t="s">
        <v>2518</v>
      </c>
    </row>
    <row r="31" spans="1:2" ht="180">
      <c r="A31" s="133" t="str">
        <f ca="1">OFFSET(L!$C$1,MATCH("Instructions"&amp;ADDRESS(ROW(),COLUMN(),4),L!$A:$A,0)-1,SL,,)</f>
        <v>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v>
      </c>
      <c r="B31" s="126" t="s">
        <v>2521</v>
      </c>
    </row>
    <row r="32" spans="1:2" ht="60">
      <c r="A32" s="133" t="str">
        <f ca="1">OFFSET(L!$C$1,MATCH("Instructions"&amp;ADDRESS(ROW(),COLUMN(),4),L!$A:$A,0)-1,SL,,)</f>
        <v>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v>
      </c>
      <c r="B32" s="126"/>
    </row>
    <row r="33" spans="1:3" ht="60">
      <c r="A33" s="133" t="str">
        <f ca="1">OFFSET(L!$C$1,MATCH("Instructions"&amp;ADDRESS(ROW(),COLUMN(),4),L!$A:$A,0)-1,SL,,)</f>
        <v>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v>
      </c>
      <c r="B33" s="126" t="s">
        <v>2518</v>
      </c>
    </row>
    <row r="34" spans="1:3" ht="15">
      <c r="A34" s="133" t="str">
        <f ca="1">OFFSET(L!$C$1,MATCH("Instructions"&amp;ADDRESS(ROW(),COLUMN(),4),L!$A:$A,0)-1,SL,,)</f>
        <v>Provide comments in the Comment sections as required to clarify your responses.</v>
      </c>
      <c r="B34" s="126"/>
    </row>
    <row r="35" spans="1:3" ht="15">
      <c r="A35" s="137"/>
      <c r="B35" s="126"/>
    </row>
    <row r="36" spans="1:3" ht="45">
      <c r="A36" s="136" t="str">
        <f ca="1">OFFSET(L!$C$1,MATCH("Instructions"&amp;ADDRESS(ROW(),COLUMN(),4),L!$A:$A,0)-1,SL,,)</f>
        <v>Instructions for completing Questions A. – J. (rows 69 - 87).  Questions A. through J. are mandatory if the response to Question 1 or 2 is “Yes” for any metal.
Provide answers in ENGLISH only</v>
      </c>
      <c r="B36" s="126" t="s">
        <v>2518</v>
      </c>
    </row>
    <row r="37" spans="1:3" ht="135">
      <c r="A37" s="133"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26" t="s">
        <v>2520</v>
      </c>
      <c r="C37"/>
    </row>
    <row r="38" spans="1:3" ht="15">
      <c r="A38" s="133" t="str">
        <f ca="1">OFFSET(L!$C$1,MATCH("Instructions"&amp;ADDRESS(ROW(),COLUMN(),4),L!$A:$A,0)-1,SL,,)</f>
        <v xml:space="preserve">A. Please answer “Yes” or “No”.  Provide any comments, if necessary. </v>
      </c>
      <c r="B38" s="126"/>
    </row>
    <row r="39" spans="1:3" ht="15">
      <c r="A39" s="133" t="str">
        <f ca="1">OFFSET(L!$C$1,MATCH("Instructions"&amp;ADDRESS(ROW(),COLUMN(),4),L!$A:$A,0)-1,SL,,)</f>
        <v>B. Please answer “Yes” or “No” If “Yes”, provide the web link in the comments section.</v>
      </c>
      <c r="B39" s="126"/>
    </row>
    <row r="40" spans="1:3" ht="75">
      <c r="A40" s="133" t="str">
        <f ca="1">OFFSET(L!$C$1,MATCH("Instructions"&amp;ADDRESS(ROW(),COLUMN(),4),L!$A:$A,0)-1,SL,,)</f>
        <v>C. Please answer “Yes” or “No”.  Provide any comments if necessary.  See Definitions worksheet for definition of "DRC conflict-free".</v>
      </c>
      <c r="B40" s="126" t="s">
        <v>2523</v>
      </c>
    </row>
    <row r="41" spans="1:3" ht="45">
      <c r="A41" s="133" t="str">
        <f ca="1">OFFSET(L!$C$1,MATCH("Instructions"&amp;ADDRESS(ROW(),COLUMN(),4),L!$A:$A,0)-1,SL,,)</f>
        <v>D. This is a declaration to determine whether a company requires their direct suppliers to source 3TG from validated, conflict free smelters. The answer to this query shall be "yes" or "no". This question is mandatory.</v>
      </c>
      <c r="B41" s="126" t="s">
        <v>2521</v>
      </c>
    </row>
    <row r="42" spans="1:3" ht="150">
      <c r="A42" s="133"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26" t="s">
        <v>2522</v>
      </c>
    </row>
    <row r="43" spans="1:3" ht="45">
      <c r="A43" s="133" t="str">
        <f ca="1">OFFSET(L!$C$1,MATCH("Instructions"&amp;ADDRESS(ROW(),COLUMN(),4),L!$A:$A,0)-1,SL,,)</f>
        <v>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v>
      </c>
      <c r="B43" s="126" t="s">
        <v>2518</v>
      </c>
    </row>
    <row r="44" spans="1:3" ht="15">
      <c r="A44" s="133" t="str">
        <f ca="1">OFFSET(L!$C$1,MATCH("Instructions"&amp;ADDRESS(ROW(),COLUMN(),4),L!$A:$A,0)-1,SL,,)</f>
        <v>G. Please answer “Yes” or “No”.  Provide any comments, if necessary.</v>
      </c>
      <c r="B44" s="126"/>
    </row>
    <row r="45" spans="1:3" ht="120">
      <c r="A45" s="133"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v>
      </c>
      <c r="B45" s="126" t="s">
        <v>2519</v>
      </c>
    </row>
    <row r="46" spans="1:3" ht="30">
      <c r="A46" s="133" t="str">
        <f ca="1">OFFSET(L!$C$1,MATCH("Instructions"&amp;ADDRESS(ROW(),COLUMN(),4),L!$A:$A,0)-1,SL,,)</f>
        <v>I. Please answer “Yes” or “No”.  If “Yes”, please describe how you manage your corrective action process.</v>
      </c>
      <c r="B46" s="126" t="s">
        <v>2518</v>
      </c>
    </row>
    <row r="47" spans="1:3" ht="45">
      <c r="A47" s="133" t="str">
        <f ca="1">OFFSET(L!$C$1,MATCH("Instructions"&amp;ADDRESS(ROW(),COLUMN(),4),L!$A:$A,0)-1,SL,,)</f>
        <v>J. Please answer “Yes” or “No”.  The SEC conflict minerals disclosure requirements apply to US exchange-traded companies that are subject to the US Securities Exchange Act. For more information please refer to www.sec.gov.</v>
      </c>
      <c r="B47" s="126" t="s">
        <v>2521</v>
      </c>
    </row>
    <row r="48" spans="1:3" ht="15">
      <c r="A48" s="137"/>
      <c r="B48" s="126"/>
    </row>
    <row r="49" spans="1:2" ht="30">
      <c r="A49" s="136" t="str">
        <f ca="1">OFFSET(L!$C$1,MATCH("Instructions"&amp;ADDRESS(ROW(),COLUMN(),4),L!$A:$A,0)-1,SL,,)</f>
        <v>Instructions for completing the Smelter List Tab.
Provide answers in ENGLISH only</v>
      </c>
      <c r="B49" s="126" t="s">
        <v>2518</v>
      </c>
    </row>
    <row r="50" spans="1:2" ht="15">
      <c r="A50" s="133" t="str">
        <f ca="1">OFFSET(L!$C$1,MATCH("Instructions"&amp;ADDRESS(ROW(),COLUMN(),4),L!$A:$A,0)-1,SL,,)</f>
        <v>Note:  Columns with (*) are mandatory fields</v>
      </c>
      <c r="B50" s="126"/>
    </row>
    <row r="51" spans="1:2" ht="60">
      <c r="A51" s="133" t="str">
        <f ca="1">OFFSET(L!$C$1,MATCH("Instructions"&amp;ADDRESS(ROW(),COLUMN(),4),L!$A:$A,0)-1,SL,,)</f>
        <v>This template allows for smelter identification using the Smelter Reference List. Columns B,C,D and E must be completed in order from left to right to utilize the Smelter Reference List feature.
Use a separate line for each metal/smelter/country combination</v>
      </c>
      <c r="B51" s="126" t="s">
        <v>2517</v>
      </c>
    </row>
    <row r="52" spans="1:2" ht="30">
      <c r="A52" s="133" t="str">
        <f ca="1">OFFSET(L!$C$1,MATCH("Instructions"&amp;ADDRESS(ROW(),COLUMN(),4),L!$A:$A,0)-1,SL,,)</f>
        <v>1. Smelter Identification Input Column - If you know the Smelter Identification Number, input the number in Column A (columns B, C, D, E, F, G, I, and J will auto-populate).  Column A does not autopopulate.</v>
      </c>
      <c r="B52" s="126" t="s">
        <v>2518</v>
      </c>
    </row>
    <row r="53" spans="1:2" ht="30">
      <c r="A53" s="133" t="str">
        <f ca="1">OFFSET(L!$C$1,MATCH("Instructions"&amp;ADDRESS(ROW(),COLUMN(),4),L!$A:$A,0)-1,SL,,)</f>
        <v>2. Metal (*)   -   Use the pull down menu to select the metal for which you are entering smelter information.  This field is mandatory.</v>
      </c>
      <c r="B53" s="126"/>
    </row>
    <row r="54" spans="1:2" ht="60">
      <c r="A54" s="222" t="str">
        <f ca="1">OFFSET(L!$C$1,MATCH("Instructions"&amp;ADDRESS(ROW(),COLUMN(),4),L!$A:$A,0)-1,SL,,)</f>
        <v>3. Smelter Reference List(*)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4" s="126" t="s">
        <v>2518</v>
      </c>
    </row>
    <row r="55" spans="1:2" ht="60">
      <c r="A55" s="133" t="str">
        <f ca="1">OFFSET(L!$C$1,MATCH("Instructions"&amp;ADDRESS(ROW(),COLUMN(),4),L!$A:$A,0)-1,SL,,)</f>
        <v>4. Smelter Name (*)- Fill in smelter name if you selected "Smelter Not Listed" in column C.  This field will auto-populate when a smelter name in selected in Column C.  This field is mandatory.</v>
      </c>
      <c r="B55" s="126" t="s">
        <v>2517</v>
      </c>
    </row>
    <row r="56" spans="1:2" ht="75">
      <c r="A56" s="133"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6" s="126" t="s">
        <v>2523</v>
      </c>
    </row>
    <row r="57" spans="1:2" ht="60">
      <c r="A57" s="133"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7" s="126" t="s">
        <v>2517</v>
      </c>
    </row>
    <row r="58" spans="1:2" ht="60">
      <c r="A58" s="133"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8" s="126" t="s">
        <v>2517</v>
      </c>
    </row>
    <row r="59" spans="1:2" ht="60">
      <c r="A59" s="133" t="str">
        <f ca="1">OFFSET(L!$C$1,MATCH("Instructions"&amp;ADDRESS(ROW(),COLUMN(),4),L!$A:$A,0)-1,SL,,)</f>
        <v>8. Smelter Street -  Provide the street name on which the smelter is located. This field is optional.</v>
      </c>
      <c r="B59" s="126" t="s">
        <v>2517</v>
      </c>
    </row>
    <row r="60" spans="1:2" ht="30">
      <c r="A60" s="133" t="str">
        <f ca="1">OFFSET(L!$C$1,MATCH("Instructions"&amp;ADDRESS(ROW(),COLUMN(),4),L!$A:$A,0)-1,SL,,)</f>
        <v>9. Smelter City – Provide the city name of where the smelter is located. This field is optional.</v>
      </c>
      <c r="B60" s="126" t="s">
        <v>2518</v>
      </c>
    </row>
    <row r="61" spans="1:2" ht="45">
      <c r="A61" s="133" t="str">
        <f ca="1">OFFSET(L!$C$1,MATCH("Instructions"&amp;ADDRESS(ROW(),COLUMN(),4),L!$A:$A,0)-1,SL,,)</f>
        <v>10.. Smelter Location: State/Province, if applicable – Provide the state or province where the smelter is located. This field is optional.</v>
      </c>
      <c r="B61" s="126" t="s">
        <v>2521</v>
      </c>
    </row>
    <row r="62" spans="1:2" ht="180">
      <c r="A62" s="133"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2" s="126" t="s">
        <v>2521</v>
      </c>
    </row>
    <row r="63" spans="1:2" ht="60">
      <c r="A63" s="133"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3" s="126" t="s">
        <v>2517</v>
      </c>
    </row>
    <row r="64" spans="1:2" ht="75">
      <c r="A64" s="133"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v>
      </c>
      <c r="B64" s="126" t="s">
        <v>2517</v>
      </c>
    </row>
    <row r="65" spans="1:15" ht="90">
      <c r="A65" s="133"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v>
      </c>
      <c r="B65" s="126"/>
    </row>
    <row r="66" spans="1:15" ht="30">
      <c r="A66" s="133" t="str">
        <f ca="1">OFFSET(L!$C$1,MATCH("Instructions"&amp;ADDRESS(ROW(),COLUMN(),4),L!$A:$A,0)-1,SL,,)</f>
        <v xml:space="preserve">15. Does 100% of the smelter’s feedstock originate from recycled or scrap sources?  - Please answer "Yes" if the smelter solely obtains inputs for its smelting process(es) from recycled or scrap sources. Answer "No" otherwise. </v>
      </c>
      <c r="B66" s="126"/>
    </row>
    <row r="67" spans="1:15" ht="30">
      <c r="A67" s="133" t="str">
        <f ca="1">OFFSET(L!$C$1,MATCH("Instructions"&amp;ADDRESS(ROW(),COLUMN(),4),L!$A:$A,0)-1,SL,,)</f>
        <v>16. Comments – free form text field to enter any comments concerning the smelter.  Example: smelter is being acquired by Company YYY</v>
      </c>
      <c r="B67" s="126"/>
    </row>
    <row r="68" spans="1:15" s="28" customFormat="1" ht="15">
      <c r="A68" s="138"/>
      <c r="B68" s="126"/>
      <c r="C68" s="125"/>
      <c r="D68"/>
      <c r="E68"/>
      <c r="F68"/>
      <c r="G68"/>
      <c r="H68"/>
      <c r="I68"/>
      <c r="J68"/>
      <c r="K68"/>
      <c r="L68"/>
      <c r="M68"/>
      <c r="N68"/>
      <c r="O68"/>
    </row>
    <row r="69" spans="1:15" s="28" customFormat="1" ht="90">
      <c r="A69" s="136"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9" s="126"/>
      <c r="C69" s="125"/>
      <c r="D69"/>
      <c r="E69"/>
      <c r="F69"/>
      <c r="G69"/>
      <c r="H69"/>
      <c r="I69"/>
      <c r="J69"/>
      <c r="K69"/>
      <c r="L69"/>
      <c r="M69"/>
      <c r="N69"/>
      <c r="O69"/>
    </row>
    <row r="70" spans="1:15" s="28" customFormat="1" ht="15">
      <c r="A70" s="138"/>
      <c r="B70" s="126"/>
      <c r="C70" s="125"/>
      <c r="D70"/>
      <c r="E70"/>
      <c r="F70"/>
      <c r="G70"/>
      <c r="H70"/>
      <c r="I70"/>
      <c r="J70"/>
      <c r="K70"/>
      <c r="L70"/>
      <c r="M70"/>
      <c r="N70"/>
      <c r="O70"/>
    </row>
    <row r="71" spans="1:15" ht="30">
      <c r="A71" s="136" t="str">
        <f ca="1">OFFSET(L!$C$1,MATCH("Instructions"&amp;ADDRESS(ROW(),COLUMN(),4),L!$A:$A,0)-1,SL,,)</f>
        <v>TERMS AND CONDITIONS</v>
      </c>
      <c r="B71" s="126" t="s">
        <v>2518</v>
      </c>
    </row>
    <row r="72" spans="1:15" ht="165">
      <c r="A72" s="133"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72" s="126" t="s">
        <v>2524</v>
      </c>
    </row>
    <row r="73" spans="1:15" ht="90">
      <c r="A73" s="133" t="str">
        <f ca="1">OFFSET(L!$C$1,MATCH("Instructions"&amp;ADDRESS(ROW(),COLUMN(),4),L!$A:$A,0)-1,SL,,)</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73" s="126" t="s">
        <v>2522</v>
      </c>
    </row>
    <row r="74" spans="1:15" ht="75">
      <c r="A74" s="133"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4" s="126" t="s">
        <v>2523</v>
      </c>
    </row>
    <row r="75" spans="1:15" ht="165">
      <c r="A75" s="133"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5" s="126" t="s">
        <v>2524</v>
      </c>
    </row>
    <row r="76" spans="1:15" ht="60">
      <c r="A76" s="133"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6" s="126" t="s">
        <v>2517</v>
      </c>
    </row>
    <row r="77" spans="1:15" ht="30">
      <c r="A77" s="133" t="str">
        <f ca="1">OFFSET(L!$C$1,MATCH("Instructions"&amp;ADDRESS(ROW(),COLUMN(),4),L!$A:$A,0)-1,SL,,)</f>
        <v xml:space="preserve">By accessing and using the List or any Tool, and in consideration thereof, the User agrees to the foregoing. </v>
      </c>
      <c r="B77" s="126" t="s">
        <v>2518</v>
      </c>
    </row>
    <row r="78" spans="1:15" ht="30">
      <c r="A78" s="133"/>
      <c r="B78" s="126" t="s">
        <v>850</v>
      </c>
    </row>
    <row r="79" spans="1:15" ht="15">
      <c r="A79" s="133" t="str">
        <f ca="1">OFFSET(L!$C$1,MATCH("General"&amp;"Cpy",L!$A:$A,0)-1,SL,,)</f>
        <v>© 2016 Conflict-Free Sourcing Initiative. All rights reserved.</v>
      </c>
      <c r="B79" s="127"/>
    </row>
    <row r="80" spans="1:15" ht="15">
      <c r="A80" s="134" t="s">
        <v>1926</v>
      </c>
      <c r="B80" s="127"/>
    </row>
    <row r="81" spans="1:1" ht="15">
      <c r="A81" s="187" t="s">
        <v>4932</v>
      </c>
    </row>
  </sheetData>
  <sheetProtection password="E985" sheet="1" formatRows="0"/>
  <customSheetViews>
    <customSheetView guid="{81CF54B1-70AB-4A68-BB72-21925B5D4874}" hiddenColumns="1">
      <selection activeCell="C3" sqref="C3:G3"/>
      <pageMargins left="0.7" right="0.7" top="0.75" bottom="0.75" header="0.3" footer="0.3"/>
    </customSheetView>
  </customSheetViews>
  <phoneticPr fontId="31"/>
  <hyperlinks>
    <hyperlink ref="A80"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60" zoomScaleNormal="60" workbookViewId="0">
      <pane ySplit="2" topLeftCell="A3" activePane="bottomLeft" state="frozen"/>
      <selection pane="bottomLeft" activeCell="B2" sqref="B2"/>
    </sheetView>
  </sheetViews>
  <sheetFormatPr defaultColWidth="8.75" defaultRowHeight="12.75"/>
  <cols>
    <col min="1" max="1" width="1.625" style="125" customWidth="1"/>
    <col min="2" max="2" width="35.5" style="125" customWidth="1"/>
    <col min="3" max="3" width="105.5" style="125" customWidth="1"/>
    <col min="4" max="5" width="1.625" style="125" customWidth="1"/>
    <col min="6" max="6" width="4.5" style="125" customWidth="1"/>
    <col min="7" max="7" width="4.875" style="125" customWidth="1"/>
    <col min="8" max="16384" width="8.75" style="125"/>
  </cols>
  <sheetData>
    <row r="1" spans="1:5" ht="13.5" thickTop="1">
      <c r="A1" s="331"/>
      <c r="B1" s="332"/>
      <c r="C1" s="332"/>
      <c r="D1" s="333"/>
    </row>
    <row r="2" spans="1:5" ht="71.099999999999994" customHeight="1">
      <c r="A2" s="94"/>
      <c r="B2" s="185" t="str">
        <f ca="1">OFFSET(L!$C$1,MATCH("Definitions"&amp;ADDRESS(ROW(),COLUMN(),4),L!$A:$A,0)-1,SL,,)</f>
        <v>ITEM</v>
      </c>
      <c r="C2" s="185" t="str">
        <f ca="1">OFFSET(L!$C$1,MATCH("Definitions"&amp;ADDRESS(ROW(),COLUMN(),4),L!$A:$A,0)-1,SL,,)</f>
        <v>DEFINITION</v>
      </c>
      <c r="D2" s="335"/>
      <c r="E2" s="139"/>
    </row>
    <row r="3" spans="1:5" ht="63.95" customHeight="1">
      <c r="A3" s="94"/>
      <c r="B3" s="80" t="str">
        <f ca="1">OFFSET(L!$C$1,MATCH("Definitions"&amp;ADDRESS(ROW(),COLUMN(),4),L!$A:$A,0)-1,SL,,)</f>
        <v>3TG</v>
      </c>
      <c r="C3" s="80" t="str">
        <f ca="1">OFFSET(L!$C$1,MATCH("Definitions"&amp;ADDRESS(ROW(),COLUMN(),4),L!$A:$A,0)-1,SL,,)</f>
        <v>Tantalum, tin, tungsten, gold</v>
      </c>
      <c r="D3" s="335"/>
      <c r="E3" s="140" t="s">
        <v>2526</v>
      </c>
    </row>
    <row r="4" spans="1:5" ht="45">
      <c r="A4" s="94"/>
      <c r="B4" s="80" t="str">
        <f ca="1">OFFSET(L!$C$1,MATCH("Definitions"&amp;ADDRESS(ROW(),COLUMN(),4),L!$A:$A,0)-1,SL,,)</f>
        <v>Authorizer</v>
      </c>
      <c r="C4" s="80"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35"/>
      <c r="E4" s="140"/>
    </row>
    <row r="5" spans="1:5" ht="150">
      <c r="A5" s="94"/>
      <c r="B5" s="80" t="str">
        <f ca="1">OFFSET(L!$C$1,MATCH("Definitions"&amp;ADDRESS(ROW(),COLUMN(),4),L!$A:$A,0)-1,SL,,)</f>
        <v>CFSP Compliant Smelter List</v>
      </c>
      <c r="C5" s="80" t="str">
        <f ca="1">OFFSET(L!$C$1,MATCH("Definitions"&amp;ADDRESS(ROW(),COLUMN(),4),L!$A:$A,0)-1,SL,,)</f>
        <v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v>
      </c>
      <c r="D5" s="335"/>
      <c r="E5" s="140" t="s">
        <v>2527</v>
      </c>
    </row>
    <row r="6" spans="1:5" ht="60">
      <c r="A6" s="94"/>
      <c r="B6" s="80" t="str">
        <f ca="1">OFFSET(L!$C$1,MATCH("Definitions"&amp;ADDRESS(ROW(),COLUMN(),4),L!$A:$A,0)-1,SL,,)</f>
        <v>Conflict-Free Smelter Program (CFSP)</v>
      </c>
      <c r="C6" s="80"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335"/>
      <c r="E6" s="140" t="s">
        <v>2527</v>
      </c>
    </row>
    <row r="7" spans="1:5" ht="150">
      <c r="A7" s="94"/>
      <c r="B7" s="80" t="str">
        <f ca="1">OFFSET(L!$C$1,MATCH("Definitions"&amp;ADDRESS(ROW(),COLUMN(),4),L!$A:$A,0)-1,SL,,)</f>
        <v>Conflict-Free Sourcing Initiative</v>
      </c>
      <c r="C7" s="80"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335"/>
      <c r="E7" s="140" t="s">
        <v>2530</v>
      </c>
    </row>
    <row r="8" spans="1:5" ht="105">
      <c r="A8" s="94"/>
      <c r="B8" s="80" t="str">
        <f ca="1">OFFSET(L!$C$1,MATCH("Definitions"&amp;ADDRESS(ROW(),COLUMN(),4),L!$A:$A,0)-1,SL,,)</f>
        <v>Conflict Mineral</v>
      </c>
      <c r="C8" s="80"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8" s="335"/>
      <c r="E8" s="140" t="s">
        <v>2527</v>
      </c>
    </row>
    <row r="9" spans="1:5" ht="75">
      <c r="A9" s="94"/>
      <c r="B9" s="80" t="str">
        <f ca="1">OFFSET(L!$C$1,MATCH("Definitions"&amp;ADDRESS(ROW(),COLUMN(),4),L!$A:$A,0)-1,SL,,)</f>
        <v>Covered Country(ies)</v>
      </c>
      <c r="C9" s="80"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9" s="335"/>
      <c r="E9" s="140" t="s">
        <v>2526</v>
      </c>
    </row>
    <row r="10" spans="1:5" ht="90">
      <c r="A10" s="94"/>
      <c r="B10" s="80" t="str">
        <f ca="1">OFFSET(L!$C$1,MATCH("Definitions"&amp;ADDRESS(ROW(),COLUMN(),4),L!$A:$A,0)-1,SL,,)</f>
        <v>Declaration Scope or Class</v>
      </c>
      <c r="C10" s="80"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0" s="335"/>
      <c r="E10" s="140" t="s">
        <v>2526</v>
      </c>
    </row>
    <row r="11" spans="1:5" ht="45">
      <c r="A11" s="94"/>
      <c r="B11" s="80" t="str">
        <f ca="1">OFFSET(L!$C$1,MATCH("Definitions"&amp;ADDRESS(ROW(),COLUMN(),4),L!$A:$A,0)-1,SL,,)</f>
        <v>Dodd-Frank</v>
      </c>
      <c r="C11" s="80" t="str">
        <f ca="1">OFFSET(L!$C$1,MATCH("Definitions"&amp;ADDRESS(ROW(),COLUMN(),4),L!$A:$A,0)-1,SL,,)</f>
        <v>2010 United States legislation, Dodd-Frank Wall Street Reform and Consumer Protection Act, Section 1502 (“Dodd-Frank”) (http://www.sec.gov/about/laws/wallstreetreform-cpa.pdf)</v>
      </c>
      <c r="D11" s="335"/>
      <c r="E11" s="140" t="s">
        <v>2526</v>
      </c>
    </row>
    <row r="12" spans="1:5" ht="75">
      <c r="A12" s="94"/>
      <c r="B12" s="80" t="str">
        <f ca="1">OFFSET(L!$C$1,MATCH("Definitions"&amp;ADDRESS(ROW(),COLUMN(),4),L!$A:$A,0)-1,SL,,)</f>
        <v>DRC</v>
      </c>
      <c r="C12" s="80" t="str">
        <f ca="1">OFFSET(L!$C$1,MATCH("Definitions"&amp;ADDRESS(ROW(),COLUMN(),4),L!$A:$A,0)-1,SL,,)</f>
        <v>Democratic Republic of Congo</v>
      </c>
      <c r="D12" s="335"/>
      <c r="E12" s="140" t="s">
        <v>2528</v>
      </c>
    </row>
    <row r="13" spans="1:5" ht="60">
      <c r="A13" s="94"/>
      <c r="B13" s="80" t="str">
        <f ca="1">OFFSET(L!$C$1,MATCH("Definitions"&amp;ADDRESS(ROW(),COLUMN(),4),L!$A:$A,0)-1,SL,,)</f>
        <v>DRC conflict-free</v>
      </c>
      <c r="C13" s="80"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3" s="335"/>
      <c r="E13" s="140" t="s">
        <v>2526</v>
      </c>
    </row>
    <row r="14" spans="1:5" ht="45">
      <c r="A14" s="94"/>
      <c r="B14" s="80" t="str">
        <f ca="1">OFFSET(L!$C$1,MATCH("Definitions"&amp;ADDRESS(ROW(),COLUMN(),4),L!$A:$A,0)-1,SL,,)</f>
        <v>EICC</v>
      </c>
      <c r="C14" s="80" t="str">
        <f ca="1">OFFSET(L!$C$1,MATCH("Definitions"&amp;ADDRESS(ROW(),COLUMN(),4),L!$A:$A,0)-1,SL,,)</f>
        <v>Electronic Industry Citizenship Coalition (www.eicc.info)</v>
      </c>
      <c r="D14" s="335"/>
      <c r="E14" s="140" t="s">
        <v>2526</v>
      </c>
    </row>
    <row r="15" spans="1:5" ht="45">
      <c r="A15" s="94"/>
      <c r="B15" s="80" t="str">
        <f ca="1">OFFSET(L!$C$1,MATCH("Definitions"&amp;ADDRESS(ROW(),COLUMN(),4),L!$A:$A,0)-1,SL,,)</f>
        <v xml:space="preserve">GeSI </v>
      </c>
      <c r="C15" s="80" t="str">
        <f ca="1">OFFSET(L!$C$1,MATCH("Definitions"&amp;ADDRESS(ROW(),COLUMN(),4),L!$A:$A,0)-1,SL,,)</f>
        <v>Global e-Sustainability Initiative (www.gesi.org)</v>
      </c>
      <c r="D15" s="335"/>
      <c r="E15" s="140" t="s">
        <v>2526</v>
      </c>
    </row>
    <row r="16" spans="1:5" ht="60">
      <c r="A16" s="94"/>
      <c r="B16" s="80" t="str">
        <f ca="1">OFFSET(L!$C$1,MATCH("Definitions"&amp;ADDRESS(ROW(),COLUMN(),4),L!$A:$A,0)-1,SL,,)</f>
        <v>Gold (Au) refiner (smelter)</v>
      </c>
      <c r="C16" s="80"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6" s="335"/>
      <c r="E16" s="140" t="s">
        <v>2526</v>
      </c>
    </row>
    <row r="17" spans="1:5" ht="75">
      <c r="A17" s="94"/>
      <c r="B17" s="80" t="str">
        <f ca="1">OFFSET(L!$C$1,MATCH("Definitions"&amp;ADDRESS(ROW(),COLUMN(),4),L!$A:$A,0)-1,SL,,)</f>
        <v>Independent Third-Party Audit Firm</v>
      </c>
      <c r="C17" s="80" t="str">
        <f ca="1">OFFSET(L!$C$1,MATCH("Definitions"&amp;ADDRESS(ROW(),COLUMN(),4),L!$A:$A,0)-1,SL,,)</f>
        <v>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7" s="335"/>
      <c r="E17" s="140" t="s">
        <v>2526</v>
      </c>
    </row>
    <row r="18" spans="1:5" ht="300">
      <c r="A18" s="94"/>
      <c r="B18" s="80" t="str">
        <f ca="1">OFFSET(L!$C$1,MATCH("Definitions"&amp;ADDRESS(ROW(),COLUMN(),4),L!$A:$A,0)-1,SL,,)</f>
        <v>Intentionally added</v>
      </c>
      <c r="C18" s="80"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8" s="335"/>
      <c r="E18" s="140"/>
    </row>
    <row r="19" spans="1:5" ht="135">
      <c r="A19" s="94"/>
      <c r="B19" s="80" t="str">
        <f ca="1">OFFSET(L!$C$1,MATCH("Definitions"&amp;ADDRESS(ROW(),COLUMN(),4),L!$A:$A,0)-1,SL,,)</f>
        <v>IPC</v>
      </c>
      <c r="C19" s="80"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9" s="335"/>
      <c r="E19" s="140"/>
    </row>
    <row r="20" spans="1:5" ht="60">
      <c r="A20" s="94"/>
      <c r="B20" s="80" t="str">
        <f ca="1">OFFSET(L!$C$1,MATCH("Definitions"&amp;ADDRESS(ROW(),COLUMN(),4),L!$A:$A,0)-1,SL,,)</f>
        <v>IPC-1755 Conflict Minerals Data Exchange Standard</v>
      </c>
      <c r="C20" s="80"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0" s="335"/>
      <c r="E20" s="140"/>
    </row>
    <row r="21" spans="1:5" ht="180">
      <c r="A21" s="94"/>
      <c r="B21" s="80" t="str">
        <f ca="1">OFFSET(L!$C$1,MATCH("Definitions"&amp;ADDRESS(ROW(),COLUMN(),4),L!$A:$A,0)-1,SL,,)</f>
        <v>Necessary for the Functionality of a Product</v>
      </c>
      <c r="C21" s="80"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1" s="335"/>
      <c r="E21" s="140"/>
    </row>
    <row r="22" spans="1:5" ht="150">
      <c r="A22" s="94"/>
      <c r="B22" s="80" t="str">
        <f ca="1">OFFSET(L!$C$1,MATCH("Definitions"&amp;ADDRESS(ROW(),COLUMN(),4),L!$A:$A,0)-1,SL,,)</f>
        <v>Necessary for the Production of a Product</v>
      </c>
      <c r="C22" s="80"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2" s="335"/>
      <c r="E22" s="140"/>
    </row>
    <row r="23" spans="1:5" ht="15">
      <c r="A23" s="94"/>
      <c r="B23" s="80" t="str">
        <f ca="1">OFFSET(L!$C$1,MATCH("Definitions"&amp;ADDRESS(ROW(),COLUMN(),4),L!$A:$A,0)-1,SL,,)</f>
        <v>OECD</v>
      </c>
      <c r="C23" s="80" t="str">
        <f ca="1">OFFSET(L!$C$1,MATCH("Definitions"&amp;ADDRESS(ROW(),COLUMN(),4),L!$A:$A,0)-1,SL,,)</f>
        <v>Organisation for Economic Co-operation and Development</v>
      </c>
      <c r="D23" s="335"/>
      <c r="E23" s="140"/>
    </row>
    <row r="24" spans="1:5" ht="45">
      <c r="A24" s="94"/>
      <c r="B24" s="80" t="str">
        <f ca="1">OFFSET(L!$C$1,MATCH("Definitions"&amp;ADDRESS(ROW(),COLUMN(),4),L!$A:$A,0)-1,SL,,)</f>
        <v>Product</v>
      </c>
      <c r="C24" s="80" t="str">
        <f ca="1">OFFSET(L!$C$1,MATCH("Definitions"&amp;ADDRESS(ROW(),COLUMN(),4),L!$A:$A,0)-1,SL,,)</f>
        <v>A company’s Product or Finished good is a material or item which has completed the final stage of manufacturing and/or processing and is available for distribution or sale to customers.</v>
      </c>
      <c r="D24" s="335"/>
      <c r="E24" s="140" t="s">
        <v>2526</v>
      </c>
    </row>
    <row r="25" spans="1:5" ht="90">
      <c r="A25" s="94"/>
      <c r="B25" s="80" t="str">
        <f ca="1">OFFSET(L!$C$1,MATCH("Definitions"&amp;ADDRESS(ROW(),COLUMN(),4),L!$A:$A,0)-1,SL,,)</f>
        <v>Recycled or Scrap Sources</v>
      </c>
      <c r="C25" s="80"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5" s="335"/>
      <c r="E25" s="140" t="s">
        <v>2528</v>
      </c>
    </row>
    <row r="26" spans="1:5" ht="45">
      <c r="A26" s="94"/>
      <c r="B26" s="80" t="str">
        <f ca="1">OFFSET(L!$C$1,MATCH("Definitions"&amp;ADDRESS(ROW(),COLUMN(),4),L!$A:$A,0)-1,SL,,)</f>
        <v>SEC</v>
      </c>
      <c r="C26" s="80" t="str">
        <f ca="1">OFFSET(L!$C$1,MATCH("Definitions"&amp;ADDRESS(ROW(),COLUMN(),4),L!$A:$A,0)-1,SL,,)</f>
        <v>U.S. Securities and Exchange Commission (www.sec.gov)</v>
      </c>
      <c r="D26" s="335"/>
      <c r="E26" s="140" t="s">
        <v>2526</v>
      </c>
    </row>
    <row r="27" spans="1:5" ht="75">
      <c r="A27" s="94"/>
      <c r="B27" s="80" t="str">
        <f ca="1">OFFSET(L!$C$1,MATCH("Definitions"&amp;ADDRESS(ROW(),COLUMN(),4),L!$A:$A,0)-1,SL,,)</f>
        <v>Smelter</v>
      </c>
      <c r="C27" s="80"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35"/>
      <c r="E27" s="140" t="s">
        <v>2527</v>
      </c>
    </row>
    <row r="28" spans="1:5" ht="75">
      <c r="A28" s="94"/>
      <c r="B28" s="80" t="str">
        <f ca="1">OFFSET(L!$C$1,MATCH("Definitions"&amp;ADDRESS(ROW(),COLUMN(),4),L!$A:$A,0)-1,SL,,)</f>
        <v>Smelter Identification Number</v>
      </c>
      <c r="C28" s="80"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8" s="335"/>
      <c r="E28" s="140" t="s">
        <v>2528</v>
      </c>
    </row>
    <row r="29" spans="1:5" ht="105">
      <c r="A29" s="94"/>
      <c r="B29" s="80" t="str">
        <f ca="1">OFFSET(L!$C$1,MATCH("Definitions"&amp;ADDRESS(ROW(),COLUMN(),4),L!$A:$A,0)-1,SL,,)</f>
        <v>Tantalum (Ta) smelter</v>
      </c>
      <c r="C29" s="80"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29" s="335"/>
      <c r="E29" s="140" t="s">
        <v>2529</v>
      </c>
    </row>
    <row r="30" spans="1:5" ht="105">
      <c r="A30" s="94"/>
      <c r="B30" s="80" t="str">
        <f ca="1">OFFSET(L!$C$1,MATCH("Definitions"&amp;ADDRESS(ROW(),COLUMN(),4),L!$A:$A,0)-1,SL,,)</f>
        <v>Tin (Sn) smelter</v>
      </c>
      <c r="C30" s="80"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0" s="335"/>
      <c r="E30" s="140"/>
    </row>
    <row r="31" spans="1:5" ht="105">
      <c r="A31" s="94"/>
      <c r="B31" s="80" t="str">
        <f ca="1">OFFSET(L!$C$1,MATCH("Definitions"&amp;ADDRESS(ROW(),COLUMN(),4),L!$A:$A,0)-1,SL,,)</f>
        <v>Tungsten (W) smelter</v>
      </c>
      <c r="C31" s="80"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1" s="335"/>
      <c r="E31" s="140"/>
    </row>
    <row r="32" spans="1:5" ht="15">
      <c r="A32" s="94"/>
      <c r="B32" s="334" t="str">
        <f ca="1">OFFSET(L!$C$1,MATCH("General"&amp;"Cpy",L!$A:$A,0)-1,SL,,)</f>
        <v>© 2016 Conflict-Free Sourcing Initiative. All rights reserved.</v>
      </c>
      <c r="C32" s="334"/>
      <c r="D32" s="335"/>
      <c r="E32" s="140"/>
    </row>
    <row r="33" spans="1:4" ht="13.5" thickBot="1">
      <c r="A33" s="95"/>
      <c r="B33" s="216"/>
      <c r="C33" s="216"/>
      <c r="D33" s="336"/>
    </row>
    <row r="34" spans="1:4" ht="13.5" thickTop="1"/>
  </sheetData>
  <sheetProtection password="E985" sheet="1" formatColumns="0" formatRows="0"/>
  <customSheetViews>
    <customSheetView guid="{81CF54B1-70AB-4A68-BB72-21925B5D4874}" hiddenColumns="1">
      <selection activeCell="F3" sqref="F3:J3"/>
      <pageMargins left="0.7" right="0.7" top="0.75" bottom="0.75" header="0.3" footer="0.3"/>
    </customSheetView>
  </customSheetViews>
  <mergeCells count="3">
    <mergeCell ref="A1:D1"/>
    <mergeCell ref="B32:C32"/>
    <mergeCell ref="D2:D33"/>
  </mergeCells>
  <phoneticPr fontId="31"/>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3"/>
  <sheetViews>
    <sheetView showGridLines="0" showZeros="0" tabSelected="1" topLeftCell="A73" zoomScale="115" zoomScaleNormal="115" workbookViewId="0">
      <selection activeCell="G29" sqref="G29:J29"/>
    </sheetView>
  </sheetViews>
  <sheetFormatPr defaultRowHeight="12.75"/>
  <cols>
    <col min="1" max="1" width="1.7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125" customWidth="1"/>
    <col min="13" max="15" width="4.875" style="125" customWidth="1"/>
    <col min="16" max="20" width="9.125" hidden="1" customWidth="1"/>
    <col min="21" max="24" width="9.125" customWidth="1"/>
  </cols>
  <sheetData>
    <row r="1" spans="1:34" ht="15.75" thickTop="1">
      <c r="A1" s="367"/>
      <c r="B1" s="368"/>
      <c r="C1" s="368"/>
      <c r="D1" s="368"/>
      <c r="E1" s="368"/>
      <c r="F1" s="368"/>
      <c r="G1" s="368"/>
      <c r="H1" s="368"/>
      <c r="I1" s="368"/>
      <c r="J1" s="368"/>
      <c r="K1" s="369"/>
      <c r="L1" s="151"/>
      <c r="M1" s="142"/>
      <c r="N1" s="142"/>
      <c r="O1" s="143"/>
      <c r="P1" s="12"/>
      <c r="Q1" s="12"/>
      <c r="R1" s="12"/>
      <c r="S1" s="12"/>
      <c r="T1" s="12"/>
      <c r="U1" s="12"/>
      <c r="V1" s="12"/>
      <c r="W1" s="12"/>
      <c r="X1" s="12"/>
      <c r="Y1" s="12"/>
      <c r="Z1" s="12"/>
      <c r="AA1" s="12"/>
      <c r="AB1" s="12"/>
      <c r="AC1" s="12"/>
      <c r="AD1" s="12"/>
      <c r="AE1" s="12"/>
      <c r="AF1" s="12"/>
      <c r="AG1" s="12"/>
      <c r="AH1" s="12"/>
    </row>
    <row r="2" spans="1:34" ht="82.15" customHeight="1">
      <c r="A2" s="48"/>
      <c r="B2" s="184"/>
      <c r="C2" s="49"/>
      <c r="D2" s="370" t="str">
        <f ca="1">OFFSET(L!$C$1,MATCH("Declaration"&amp;ADDRESS(ROW(),COLUMN(),4),L!$A:$A,0)-1,SL,,)</f>
        <v>Conflict Minerals Reporting Template (CMRT)</v>
      </c>
      <c r="E2" s="371"/>
      <c r="F2" s="371"/>
      <c r="G2" s="371"/>
      <c r="H2" s="371"/>
      <c r="I2" s="371"/>
      <c r="J2" s="372"/>
      <c r="K2" s="50"/>
      <c r="L2" s="152"/>
      <c r="M2" s="144"/>
      <c r="N2" s="145"/>
      <c r="O2" s="145"/>
      <c r="P2" s="12"/>
      <c r="Q2" s="12"/>
      <c r="R2" s="12"/>
      <c r="S2" s="12"/>
      <c r="T2" s="12"/>
      <c r="U2" s="12"/>
      <c r="V2" s="12"/>
      <c r="W2" s="12"/>
      <c r="X2" s="12"/>
      <c r="Y2" s="12"/>
      <c r="Z2" s="12"/>
      <c r="AA2" s="12"/>
      <c r="AB2" s="12"/>
      <c r="AC2" s="12"/>
      <c r="AD2" s="12"/>
      <c r="AE2" s="12"/>
      <c r="AF2" s="12"/>
      <c r="AG2" s="12"/>
      <c r="AH2" s="12"/>
    </row>
    <row r="3" spans="1:34" ht="139.5" customHeight="1">
      <c r="A3" s="48"/>
      <c r="B3" s="183" t="s">
        <v>4871</v>
      </c>
      <c r="C3" s="18"/>
      <c r="D3" s="51" t="s">
        <v>1503</v>
      </c>
      <c r="E3" s="12"/>
      <c r="F3" s="380" t="str">
        <f ca="1">IF(AND($D$8="",$I$3=""),"",OFFSET(L!$C$1,MATCH("Declaration"&amp;ADDRESS(ROW(),COLUMN(),4),L!$A:$A,0)-1,SL,,))</f>
        <v>Click here to check required fields completion</v>
      </c>
      <c r="G3" s="380"/>
      <c r="H3" s="380"/>
      <c r="I3" s="215" t="str">
        <f ca="1">IF(AND(Checker!D2&lt;&gt;47,VALUE(Checker!D2)&gt;0),OFFSET(L!$C$1,MATCH("Declaration"&amp;ADDRESS(ROW(),COLUMN(),4),L!$A:$A,0)-1,SL,,),"")</f>
        <v/>
      </c>
      <c r="J3" s="186" t="s">
        <v>4931</v>
      </c>
      <c r="K3" s="50"/>
      <c r="L3" s="151"/>
      <c r="M3" s="142"/>
      <c r="N3" s="142"/>
      <c r="O3" s="143"/>
      <c r="P3" s="156">
        <f>MATCH($D$3,LN,0)</f>
        <v>1</v>
      </c>
    </row>
    <row r="4" spans="1:34" ht="15.75">
      <c r="A4" s="48"/>
      <c r="B4" s="376" t="str">
        <f ca="1">OFFSET(L!$C$1,MATCH("Declaration"&amp;ADDRESS(ROW(),COLUMN(),4),L!$A:$A,0)-1,SL,,)</f>
        <v>The purpose of this document is to collect sourcing information on tin, tantalum, tungsten and gold used in products</v>
      </c>
      <c r="C4" s="376"/>
      <c r="D4" s="376"/>
      <c r="E4" s="376"/>
      <c r="F4" s="376"/>
      <c r="G4" s="376"/>
      <c r="H4" s="376"/>
      <c r="I4" s="381" t="str">
        <f ca="1">OFFSET(L!$C$1,MATCH("Declaration"&amp;ADDRESS(ROW(),COLUMN(),4),L!$A:$A,0)-1,SL,,)</f>
        <v>Link to Terms &amp; Conditions</v>
      </c>
      <c r="J4" s="381"/>
      <c r="K4" s="50"/>
      <c r="L4" s="153"/>
      <c r="M4" s="142"/>
      <c r="N4" s="142"/>
      <c r="O4" s="143"/>
      <c r="P4" s="12"/>
      <c r="Q4" s="12"/>
      <c r="R4" s="12"/>
      <c r="S4" s="12"/>
      <c r="T4" s="12"/>
      <c r="U4" s="12"/>
      <c r="V4" s="12"/>
      <c r="W4" s="12"/>
      <c r="X4" s="12"/>
      <c r="Y4" s="12"/>
      <c r="Z4" s="12"/>
      <c r="AA4" s="12"/>
      <c r="AB4" s="12"/>
      <c r="AC4" s="12"/>
      <c r="AD4" s="12"/>
      <c r="AE4" s="12"/>
      <c r="AF4" s="12"/>
      <c r="AG4" s="12"/>
      <c r="AH4" s="12"/>
    </row>
    <row r="5" spans="1:34" ht="15">
      <c r="A5" s="182" t="str">
        <f>LEFT(D9,1)</f>
        <v>A</v>
      </c>
      <c r="B5" s="19"/>
      <c r="C5" s="19"/>
      <c r="D5" s="19"/>
      <c r="E5" s="19"/>
      <c r="F5" s="19"/>
      <c r="G5" s="19"/>
      <c r="H5" s="19"/>
      <c r="I5" s="19"/>
      <c r="J5" s="19"/>
      <c r="K5" s="50"/>
      <c r="L5" s="153"/>
      <c r="M5" s="146"/>
      <c r="N5" s="146"/>
      <c r="O5" s="146"/>
      <c r="P5" s="17"/>
      <c r="Q5" s="17"/>
      <c r="R5" s="17"/>
      <c r="S5" s="17"/>
      <c r="T5" s="17"/>
      <c r="U5" s="17"/>
      <c r="V5" s="17"/>
      <c r="W5" s="17"/>
      <c r="X5" s="17"/>
      <c r="Y5" s="17"/>
      <c r="Z5" s="17"/>
      <c r="AA5" s="17"/>
      <c r="AB5" s="17"/>
      <c r="AC5" s="17"/>
      <c r="AD5" s="17"/>
      <c r="AE5" s="17"/>
      <c r="AF5" s="17"/>
      <c r="AG5" s="17"/>
      <c r="AH5" s="17"/>
    </row>
    <row r="6" spans="1:34" ht="30">
      <c r="A6" s="48"/>
      <c r="B6" s="376" t="str">
        <f ca="1">OFFSET(L!$C$1,MATCH("Declaration"&amp;ADDRESS(ROW(),COLUMN(),4),L!$A:$A,0)-1,SL,,)</f>
        <v>Mandatory fields are noted with an asterisk (*).</v>
      </c>
      <c r="C6" s="376"/>
      <c r="D6" s="376"/>
      <c r="E6" s="376"/>
      <c r="F6" s="376"/>
      <c r="G6" s="376"/>
      <c r="H6" s="376"/>
      <c r="I6" s="376"/>
      <c r="J6" s="376"/>
      <c r="K6" s="50"/>
      <c r="L6" s="153" t="s">
        <v>852</v>
      </c>
      <c r="M6" s="142"/>
      <c r="N6" s="142"/>
      <c r="O6" s="143"/>
      <c r="P6" s="12"/>
      <c r="Q6" s="12"/>
      <c r="R6" s="12"/>
      <c r="S6" s="12"/>
      <c r="T6" s="12"/>
      <c r="U6" s="12"/>
      <c r="V6" s="12"/>
      <c r="W6" s="12"/>
      <c r="X6" s="12"/>
      <c r="Y6" s="12"/>
      <c r="Z6" s="12"/>
      <c r="AA6" s="12"/>
      <c r="AB6" s="12"/>
      <c r="AC6" s="12"/>
      <c r="AD6" s="12"/>
      <c r="AE6" s="12"/>
      <c r="AF6" s="12"/>
      <c r="AG6" s="12"/>
      <c r="AH6" s="12"/>
    </row>
    <row r="7" spans="1:34" ht="15.75">
      <c r="A7" s="48"/>
      <c r="B7" s="364" t="str">
        <f ca="1">OFFSET(L!$C$1,MATCH("Declaration"&amp;ADDRESS(ROW(),COLUMN(),4),L!$A:$A,0)-1,SL,,)</f>
        <v>Company Information</v>
      </c>
      <c r="C7" s="364"/>
      <c r="D7" s="364"/>
      <c r="E7" s="364"/>
      <c r="F7" s="364"/>
      <c r="G7" s="364"/>
      <c r="H7" s="364"/>
      <c r="I7" s="364"/>
      <c r="J7" s="364"/>
      <c r="K7" s="50"/>
      <c r="L7" s="153"/>
      <c r="M7" s="142"/>
      <c r="N7" s="142"/>
      <c r="O7" s="143"/>
      <c r="P7" s="12"/>
      <c r="Q7" s="12"/>
      <c r="R7" s="12"/>
      <c r="S7" s="12"/>
      <c r="T7" s="12"/>
      <c r="U7" s="12"/>
      <c r="V7" s="12"/>
      <c r="W7" s="12"/>
      <c r="X7" s="12"/>
      <c r="Y7" s="12"/>
      <c r="Z7" s="12"/>
      <c r="AA7" s="12"/>
      <c r="AB7" s="12"/>
      <c r="AC7" s="12"/>
      <c r="AD7" s="12"/>
      <c r="AE7" s="12"/>
      <c r="AF7" s="12"/>
      <c r="AG7" s="12"/>
      <c r="AH7" s="12"/>
    </row>
    <row r="8" spans="1:34" ht="15.75">
      <c r="A8" s="52"/>
      <c r="B8" s="93" t="str">
        <f ca="1">OFFSET(L!$C$1,MATCH("Declaration"&amp;ADDRESS(ROW(),COLUMN(),4),L!$A:$A,0)-1,SL,,)</f>
        <v>Company Name (*):</v>
      </c>
      <c r="C8" s="96"/>
      <c r="D8" s="373" t="s">
        <v>4992</v>
      </c>
      <c r="E8" s="374"/>
      <c r="F8" s="374"/>
      <c r="G8" s="374"/>
      <c r="H8" s="374"/>
      <c r="I8" s="374"/>
      <c r="J8" s="375"/>
      <c r="K8" s="53"/>
      <c r="L8" s="153"/>
      <c r="M8" s="142"/>
      <c r="N8" s="142"/>
      <c r="O8" s="143"/>
      <c r="P8" s="12"/>
      <c r="Q8" s="12"/>
      <c r="R8" s="12"/>
      <c r="S8" s="12"/>
      <c r="T8" s="12"/>
      <c r="U8" s="12"/>
      <c r="V8" s="12"/>
      <c r="W8" s="12"/>
      <c r="X8" s="12"/>
      <c r="Y8" s="12"/>
      <c r="Z8" s="12"/>
      <c r="AA8" s="12"/>
      <c r="AB8" s="12"/>
      <c r="AC8" s="12"/>
      <c r="AD8" s="12"/>
      <c r="AE8" s="12"/>
      <c r="AF8" s="12"/>
      <c r="AG8" s="12"/>
      <c r="AH8" s="12"/>
    </row>
    <row r="9" spans="1:34" ht="15.75">
      <c r="A9" s="52"/>
      <c r="B9" s="93" t="str">
        <f ca="1">OFFSET(L!$C$1,MATCH("Declaration"&amp;ADDRESS(ROW(),COLUMN(),4),L!$A:$A,0)-1,SL,,)</f>
        <v>Declaration Scope or Class (*):</v>
      </c>
      <c r="C9" s="96"/>
      <c r="D9" s="361" t="s">
        <v>915</v>
      </c>
      <c r="E9" s="362"/>
      <c r="F9" s="362"/>
      <c r="G9" s="363"/>
      <c r="H9" s="72"/>
      <c r="I9" s="72"/>
      <c r="J9" s="72"/>
      <c r="K9" s="50"/>
      <c r="L9" s="153"/>
      <c r="M9" s="142"/>
      <c r="N9" s="142"/>
      <c r="O9" s="143"/>
      <c r="P9" s="156" t="s">
        <v>915</v>
      </c>
      <c r="Q9" s="156" t="s">
        <v>916</v>
      </c>
      <c r="R9" s="156" t="s">
        <v>917</v>
      </c>
      <c r="S9" s="156"/>
      <c r="T9" s="44"/>
      <c r="U9" s="12"/>
      <c r="V9" s="12"/>
      <c r="W9" s="12"/>
      <c r="X9" s="12"/>
      <c r="Y9" s="12"/>
      <c r="Z9" s="12"/>
      <c r="AA9" s="12"/>
      <c r="AB9" s="12"/>
      <c r="AC9" s="12"/>
      <c r="AD9" s="12"/>
      <c r="AE9" s="12"/>
      <c r="AF9" s="12"/>
      <c r="AG9" s="12"/>
      <c r="AH9" s="12"/>
    </row>
    <row r="10" spans="1:34" ht="32.450000000000003" customHeight="1">
      <c r="A10" s="52"/>
      <c r="B10" s="365" t="str">
        <f ca="1">OFFSET(L!$C$1,MATCH("Declaration"&amp;ADDRESS(ROW(),COLUMN(),4)&amp;LEFT($D$9,1),L!$A:$A,0)-1,SL,,)</f>
        <v>Description of Scope:</v>
      </c>
      <c r="C10" s="166"/>
      <c r="D10" s="377"/>
      <c r="E10" s="378"/>
      <c r="F10" s="378"/>
      <c r="G10" s="378"/>
      <c r="H10" s="378"/>
      <c r="I10" s="378"/>
      <c r="J10" s="379"/>
      <c r="K10" s="50"/>
      <c r="L10" s="153"/>
      <c r="M10" s="142"/>
      <c r="N10" s="142"/>
      <c r="O10" s="143"/>
      <c r="Q10" s="12"/>
      <c r="R10" s="12"/>
      <c r="S10" s="12"/>
      <c r="T10" s="12"/>
      <c r="U10" s="12"/>
      <c r="V10" s="12"/>
      <c r="W10" s="12"/>
      <c r="X10" s="12"/>
      <c r="Y10" s="12"/>
      <c r="Z10" s="12"/>
      <c r="AA10" s="12"/>
      <c r="AB10" s="12"/>
      <c r="AC10" s="12"/>
      <c r="AD10" s="12"/>
      <c r="AE10" s="12"/>
      <c r="AF10" s="12"/>
      <c r="AG10" s="12"/>
      <c r="AH10" s="12"/>
    </row>
    <row r="11" spans="1:34" ht="15.75">
      <c r="A11" s="52"/>
      <c r="B11" s="366"/>
      <c r="C11" s="166"/>
      <c r="D11" s="382" t="str">
        <f ca="1">IF(D9=Q9,OFFSET(L!$C$1,MATCH("Declaration"&amp;ADDRESS(ROW(),COLUMN(),4),L!$A:$A,0)-1,SL,,),"")</f>
        <v/>
      </c>
      <c r="E11" s="383"/>
      <c r="F11" s="383"/>
      <c r="G11" s="383"/>
      <c r="H11" s="383"/>
      <c r="I11" s="383"/>
      <c r="J11" s="384"/>
      <c r="K11" s="50"/>
      <c r="L11" s="153"/>
      <c r="M11" s="142"/>
      <c r="N11" s="142"/>
      <c r="O11" s="143"/>
      <c r="Q11" s="12"/>
      <c r="R11" s="12"/>
      <c r="S11" s="12"/>
      <c r="T11" s="12"/>
      <c r="U11" s="12"/>
      <c r="V11" s="12"/>
      <c r="W11" s="12"/>
      <c r="X11" s="12"/>
      <c r="Y11" s="12"/>
      <c r="Z11" s="12"/>
      <c r="AA11" s="12"/>
      <c r="AB11" s="12"/>
      <c r="AC11" s="12"/>
      <c r="AD11" s="12"/>
      <c r="AE11" s="12"/>
      <c r="AF11" s="12"/>
      <c r="AG11" s="12"/>
      <c r="AH11" s="12"/>
    </row>
    <row r="12" spans="1:34" ht="15.75">
      <c r="A12" s="52"/>
      <c r="B12" s="54" t="str">
        <f ca="1">OFFSET(L!$C$1,MATCH("Declaration"&amp;ADDRESS(ROW(),COLUMN(),4),L!$A:$A,0)-1,SL,,)</f>
        <v>Company Unique ID:</v>
      </c>
      <c r="C12" s="97"/>
      <c r="D12" s="349"/>
      <c r="E12" s="350"/>
      <c r="F12" s="350"/>
      <c r="G12" s="350"/>
      <c r="H12" s="350"/>
      <c r="I12" s="350"/>
      <c r="J12" s="351"/>
      <c r="K12" s="50"/>
      <c r="L12" s="153"/>
      <c r="M12" s="142"/>
      <c r="N12" s="142"/>
      <c r="O12" s="143"/>
      <c r="Q12" s="12"/>
      <c r="R12" s="12"/>
      <c r="S12" s="12"/>
      <c r="T12" s="12"/>
      <c r="U12" s="12"/>
      <c r="V12" s="12"/>
      <c r="W12" s="12"/>
      <c r="X12" s="12"/>
      <c r="Y12" s="12"/>
      <c r="Z12" s="12"/>
      <c r="AA12" s="12"/>
      <c r="AB12" s="12"/>
      <c r="AC12" s="12"/>
      <c r="AD12" s="12"/>
      <c r="AE12" s="12"/>
      <c r="AF12" s="12"/>
      <c r="AG12" s="12"/>
      <c r="AH12" s="12"/>
    </row>
    <row r="13" spans="1:34" ht="15.75">
      <c r="A13" s="52"/>
      <c r="B13" s="54" t="str">
        <f ca="1">OFFSET(L!$C$1,MATCH("Declaration"&amp;ADDRESS(ROW(),COLUMN(),4),L!$A:$A,0)-1,SL,,)</f>
        <v>Company Unique ID Authority:</v>
      </c>
      <c r="C13" s="97"/>
      <c r="D13" s="352"/>
      <c r="E13" s="353"/>
      <c r="F13" s="353"/>
      <c r="G13" s="353"/>
      <c r="H13" s="353"/>
      <c r="I13" s="353"/>
      <c r="J13" s="354"/>
      <c r="K13" s="50"/>
      <c r="L13" s="153"/>
      <c r="M13" s="142"/>
      <c r="N13" s="142"/>
      <c r="O13" s="143"/>
      <c r="Q13" s="12"/>
      <c r="R13" s="12"/>
      <c r="S13" s="12"/>
      <c r="T13" s="12"/>
      <c r="U13" s="12"/>
      <c r="V13" s="12"/>
      <c r="W13" s="12"/>
      <c r="X13" s="12"/>
      <c r="Y13" s="12"/>
      <c r="Z13" s="12"/>
      <c r="AA13" s="12"/>
      <c r="AB13" s="12"/>
      <c r="AC13" s="12"/>
      <c r="AD13" s="12"/>
      <c r="AE13" s="12"/>
      <c r="AF13" s="12"/>
      <c r="AG13" s="12"/>
      <c r="AH13" s="12"/>
    </row>
    <row r="14" spans="1:34" ht="15.75">
      <c r="A14" s="52"/>
      <c r="B14" s="54" t="str">
        <f ca="1">OFFSET(L!$C$1,MATCH("Declaration"&amp;ADDRESS(ROW(),COLUMN(),4),L!$A:$A,0)-1,SL,,)</f>
        <v>Address:</v>
      </c>
      <c r="C14" s="97"/>
      <c r="D14" s="352" t="s">
        <v>4993</v>
      </c>
      <c r="E14" s="353"/>
      <c r="F14" s="353"/>
      <c r="G14" s="353"/>
      <c r="H14" s="353"/>
      <c r="I14" s="353"/>
      <c r="J14" s="354"/>
      <c r="K14" s="50"/>
      <c r="L14" s="153"/>
      <c r="M14" s="142"/>
      <c r="N14" s="142"/>
      <c r="O14" s="143"/>
      <c r="Q14" s="12"/>
      <c r="R14" s="12"/>
      <c r="S14" s="12"/>
      <c r="T14" s="12"/>
      <c r="U14" s="12"/>
      <c r="V14" s="12"/>
      <c r="W14" s="12"/>
      <c r="X14" s="12"/>
      <c r="Y14" s="12"/>
      <c r="Z14" s="12"/>
      <c r="AA14" s="12"/>
      <c r="AB14" s="12"/>
      <c r="AC14" s="12"/>
      <c r="AD14" s="12"/>
      <c r="AE14" s="12"/>
      <c r="AF14" s="12"/>
      <c r="AG14" s="12"/>
      <c r="AH14" s="12"/>
    </row>
    <row r="15" spans="1:34" ht="15.75">
      <c r="A15" s="52"/>
      <c r="B15" s="54" t="str">
        <f ca="1">OFFSET(L!$C$1,MATCH("Declaration"&amp;ADDRESS(ROW(),COLUMN(),4),L!$A:$A,0)-1,SL,,)</f>
        <v>Contact Name (*):</v>
      </c>
      <c r="C15" s="97"/>
      <c r="D15" s="352" t="s">
        <v>4994</v>
      </c>
      <c r="E15" s="353"/>
      <c r="F15" s="353"/>
      <c r="G15" s="353"/>
      <c r="H15" s="353"/>
      <c r="I15" s="353"/>
      <c r="J15" s="354"/>
      <c r="K15" s="50"/>
      <c r="L15" s="153"/>
      <c r="M15" s="142"/>
      <c r="N15" s="142"/>
      <c r="O15" s="143"/>
      <c r="Q15" s="12"/>
      <c r="R15" s="12"/>
      <c r="S15" s="12"/>
      <c r="T15" s="12"/>
      <c r="U15" s="12"/>
      <c r="V15" s="12"/>
      <c r="W15" s="12"/>
      <c r="X15" s="12"/>
      <c r="Y15" s="12"/>
      <c r="Z15" s="12"/>
      <c r="AA15" s="12"/>
      <c r="AB15" s="12"/>
      <c r="AC15" s="12"/>
      <c r="AD15" s="12"/>
      <c r="AE15" s="12"/>
      <c r="AF15" s="12"/>
      <c r="AG15" s="12"/>
      <c r="AH15" s="12"/>
    </row>
    <row r="16" spans="1:34" ht="15.75">
      <c r="A16" s="52"/>
      <c r="B16" s="54" t="str">
        <f ca="1">OFFSET(L!$C$1,MATCH("Declaration"&amp;ADDRESS(ROW(),COLUMN(),4),L!$A:$A,0)-1,SL,,)</f>
        <v>Email – Contact (*):</v>
      </c>
      <c r="C16" s="97"/>
      <c r="D16" s="349" t="s">
        <v>4995</v>
      </c>
      <c r="E16" s="350"/>
      <c r="F16" s="350"/>
      <c r="G16" s="350"/>
      <c r="H16" s="350"/>
      <c r="I16" s="350"/>
      <c r="J16" s="351"/>
      <c r="K16" s="50"/>
      <c r="L16" s="153"/>
      <c r="M16" s="142"/>
      <c r="N16" s="142"/>
      <c r="O16" s="143"/>
      <c r="Q16" s="12"/>
      <c r="R16" s="12"/>
      <c r="S16" s="12"/>
      <c r="T16" s="12"/>
      <c r="U16" s="12"/>
      <c r="V16" s="12"/>
      <c r="W16" s="12"/>
      <c r="X16" s="12"/>
      <c r="Y16" s="12"/>
      <c r="Z16" s="12"/>
      <c r="AA16" s="12"/>
      <c r="AB16" s="12"/>
      <c r="AC16" s="12"/>
      <c r="AD16" s="12"/>
      <c r="AE16" s="12"/>
      <c r="AF16" s="12"/>
      <c r="AG16" s="12"/>
      <c r="AH16" s="12"/>
    </row>
    <row r="17" spans="1:34" ht="15.75">
      <c r="A17" s="52"/>
      <c r="B17" s="54" t="str">
        <f ca="1">OFFSET(L!$C$1,MATCH("Declaration"&amp;ADDRESS(ROW(),COLUMN(),4),L!$A:$A,0)-1,SL,,)</f>
        <v>Phone – Contact (*):</v>
      </c>
      <c r="C17" s="97"/>
      <c r="D17" s="352" t="s">
        <v>4996</v>
      </c>
      <c r="E17" s="353"/>
      <c r="F17" s="353"/>
      <c r="G17" s="353"/>
      <c r="H17" s="353"/>
      <c r="I17" s="353"/>
      <c r="J17" s="354"/>
      <c r="K17" s="50"/>
      <c r="L17" s="153"/>
      <c r="M17" s="142"/>
      <c r="N17" s="142"/>
      <c r="O17" s="143"/>
      <c r="Q17" s="12"/>
      <c r="R17" s="12"/>
      <c r="S17" s="12"/>
      <c r="T17" s="12"/>
      <c r="U17" s="12"/>
      <c r="V17" s="12"/>
      <c r="W17" s="12"/>
      <c r="X17" s="12"/>
      <c r="Y17" s="12"/>
      <c r="Z17" s="12"/>
      <c r="AA17" s="12"/>
      <c r="AB17" s="12"/>
      <c r="AC17" s="12"/>
      <c r="AD17" s="12"/>
      <c r="AE17" s="12"/>
      <c r="AF17" s="12"/>
      <c r="AG17" s="12"/>
      <c r="AH17" s="12"/>
    </row>
    <row r="18" spans="1:34" ht="22.5">
      <c r="A18" s="52"/>
      <c r="B18" s="54" t="str">
        <f ca="1">OFFSET(L!$C$1,MATCH("Declaration"&amp;ADDRESS(ROW(),COLUMN(),4),L!$A:$A,0)-1,SL,,)</f>
        <v>Authorizer (*):</v>
      </c>
      <c r="C18" s="97"/>
      <c r="D18" s="352" t="s">
        <v>4994</v>
      </c>
      <c r="E18" s="353"/>
      <c r="F18" s="353"/>
      <c r="G18" s="353"/>
      <c r="H18" s="353"/>
      <c r="I18" s="353"/>
      <c r="J18" s="354"/>
      <c r="K18" s="50"/>
      <c r="L18" s="147"/>
      <c r="M18" s="142"/>
      <c r="N18" s="142"/>
      <c r="O18" s="143"/>
      <c r="Q18" s="12"/>
      <c r="R18" s="12"/>
      <c r="S18" s="12"/>
      <c r="T18" s="12"/>
      <c r="U18" s="12"/>
      <c r="V18" s="12"/>
      <c r="W18" s="12"/>
      <c r="X18" s="12"/>
      <c r="Y18" s="12"/>
      <c r="Z18" s="12"/>
      <c r="AA18" s="12"/>
      <c r="AB18" s="12"/>
      <c r="AC18" s="12"/>
      <c r="AD18" s="12"/>
      <c r="AE18" s="12"/>
      <c r="AF18" s="12"/>
      <c r="AG18" s="12"/>
      <c r="AH18" s="12"/>
    </row>
    <row r="19" spans="1:34" ht="22.5">
      <c r="A19" s="52"/>
      <c r="B19" s="54" t="str">
        <f ca="1">OFFSET(L!$C$1,MATCH("Declaration"&amp;ADDRESS(ROW(),COLUMN(),4),L!$A:$A,0)-1,SL,,)</f>
        <v>Title - Authorizer:</v>
      </c>
      <c r="C19" s="97"/>
      <c r="D19" s="352"/>
      <c r="E19" s="353"/>
      <c r="F19" s="353"/>
      <c r="G19" s="353"/>
      <c r="H19" s="353"/>
      <c r="I19" s="353"/>
      <c r="J19" s="354"/>
      <c r="K19" s="50"/>
      <c r="L19" s="147"/>
      <c r="M19" s="142"/>
      <c r="N19" s="142"/>
      <c r="O19" s="143"/>
      <c r="P19" s="12"/>
      <c r="Q19" s="12"/>
      <c r="R19" s="12"/>
      <c r="S19" s="12"/>
      <c r="T19" s="12"/>
      <c r="U19" s="12"/>
      <c r="V19" s="12"/>
      <c r="W19" s="12"/>
      <c r="X19" s="12"/>
      <c r="Y19" s="12"/>
      <c r="Z19" s="12"/>
      <c r="AA19" s="12"/>
      <c r="AB19" s="12"/>
      <c r="AC19" s="12"/>
      <c r="AD19" s="12"/>
      <c r="AE19" s="12"/>
      <c r="AF19" s="12"/>
      <c r="AG19" s="12"/>
      <c r="AH19" s="12"/>
    </row>
    <row r="20" spans="1:34" ht="22.5">
      <c r="A20" s="52"/>
      <c r="B20" s="54" t="str">
        <f ca="1">OFFSET(L!$C$1,MATCH("Declaration"&amp;ADDRESS(ROW(),COLUMN(),4),L!$A:$A,0)-1,SL,,)</f>
        <v>Email - Authorizer (*):</v>
      </c>
      <c r="C20" s="97"/>
      <c r="D20" s="377" t="s">
        <v>4995</v>
      </c>
      <c r="E20" s="378"/>
      <c r="F20" s="378"/>
      <c r="G20" s="378"/>
      <c r="H20" s="378"/>
      <c r="I20" s="378"/>
      <c r="J20" s="379"/>
      <c r="K20" s="50"/>
      <c r="L20" s="147"/>
      <c r="M20" s="142"/>
      <c r="N20" s="142"/>
      <c r="O20" s="143"/>
      <c r="P20" s="12"/>
      <c r="Q20" s="12"/>
      <c r="R20" s="12"/>
      <c r="S20" s="12"/>
      <c r="T20" s="12"/>
      <c r="U20" s="12"/>
      <c r="V20" s="12"/>
      <c r="W20" s="12"/>
      <c r="X20" s="12"/>
      <c r="Y20" s="12"/>
      <c r="Z20" s="12"/>
      <c r="AA20" s="12"/>
      <c r="AB20" s="12"/>
      <c r="AC20" s="12"/>
      <c r="AD20" s="12"/>
      <c r="AE20" s="12"/>
      <c r="AF20" s="12"/>
      <c r="AG20" s="12"/>
      <c r="AH20" s="12"/>
    </row>
    <row r="21" spans="1:34" ht="15.75">
      <c r="A21" s="52"/>
      <c r="B21" s="54" t="str">
        <f ca="1">OFFSET(L!$C$1,MATCH("Declaration"&amp;ADDRESS(ROW(),COLUMN(),4),L!$A:$A,0)-1,SL,,)</f>
        <v>Phone - Authorizer (*):</v>
      </c>
      <c r="C21" s="181"/>
      <c r="D21" s="386" t="s">
        <v>4996</v>
      </c>
      <c r="E21" s="387"/>
      <c r="F21" s="387"/>
      <c r="G21" s="387"/>
      <c r="H21" s="387"/>
      <c r="I21" s="387"/>
      <c r="J21" s="388"/>
      <c r="K21" s="50"/>
      <c r="L21" s="153"/>
      <c r="M21" s="144"/>
      <c r="N21" s="142"/>
      <c r="O21" s="143"/>
      <c r="P21" s="12"/>
      <c r="Q21" s="12"/>
      <c r="R21" s="12"/>
      <c r="S21" s="12"/>
      <c r="T21" s="12"/>
      <c r="U21" s="12"/>
      <c r="V21" s="12"/>
      <c r="W21" s="12"/>
      <c r="X21" s="12"/>
      <c r="Y21" s="12"/>
      <c r="Z21" s="12"/>
      <c r="AA21" s="12"/>
      <c r="AB21" s="12"/>
      <c r="AC21" s="12"/>
      <c r="AD21" s="12"/>
      <c r="AE21" s="12"/>
      <c r="AF21" s="12"/>
      <c r="AG21" s="12"/>
      <c r="AH21" s="12"/>
    </row>
    <row r="22" spans="1:34" ht="18">
      <c r="A22" s="52"/>
      <c r="B22" s="54" t="str">
        <f ca="1">OFFSET(L!$C$1,MATCH("Declaration"&amp;ADDRESS(ROW(),COLUMN(),4),L!$A:$A,0)-1,SL,,)</f>
        <v>Effective Date (*):</v>
      </c>
      <c r="C22" s="98"/>
      <c r="D22" s="389">
        <v>42765</v>
      </c>
      <c r="E22" s="390"/>
      <c r="F22" s="300"/>
      <c r="G22" s="301"/>
      <c r="H22" s="301"/>
      <c r="I22" s="301"/>
      <c r="J22" s="301"/>
      <c r="K22" s="50"/>
      <c r="L22" s="151"/>
      <c r="M22" s="142"/>
      <c r="N22" s="142"/>
      <c r="O22" s="143"/>
      <c r="P22" s="12"/>
      <c r="Q22" s="12"/>
      <c r="R22" s="12"/>
      <c r="S22" s="12"/>
      <c r="T22" s="12"/>
      <c r="U22" s="12"/>
      <c r="V22" s="12"/>
      <c r="W22" s="12"/>
      <c r="X22" s="12"/>
      <c r="Y22" s="12"/>
      <c r="Z22" s="12"/>
      <c r="AA22" s="12"/>
      <c r="AB22" s="12"/>
      <c r="AC22" s="12"/>
      <c r="AD22" s="12"/>
      <c r="AE22" s="12"/>
      <c r="AF22" s="12"/>
      <c r="AG22" s="12"/>
      <c r="AH22" s="12"/>
    </row>
    <row r="23" spans="1:34" ht="18">
      <c r="A23" s="55"/>
      <c r="B23" s="99"/>
      <c r="C23" s="20"/>
      <c r="D23" s="355"/>
      <c r="E23" s="355"/>
      <c r="F23" s="14"/>
      <c r="G23" s="167"/>
      <c r="H23" s="167"/>
      <c r="I23" s="167"/>
      <c r="J23" s="167"/>
      <c r="K23" s="50"/>
      <c r="L23" s="148"/>
      <c r="M23" s="142"/>
      <c r="N23" s="142"/>
      <c r="O23" s="143"/>
      <c r="P23" s="23"/>
      <c r="Q23" s="12"/>
      <c r="R23" s="12"/>
      <c r="S23" s="12"/>
      <c r="T23" s="12"/>
      <c r="U23" s="12"/>
      <c r="V23" s="12"/>
      <c r="W23" s="12"/>
      <c r="X23" s="12"/>
      <c r="Y23" s="12"/>
      <c r="Z23" s="12"/>
      <c r="AA23" s="12"/>
      <c r="AB23" s="12"/>
      <c r="AC23" s="12"/>
      <c r="AD23" s="12"/>
      <c r="AE23" s="12"/>
      <c r="AF23" s="12"/>
      <c r="AG23" s="12"/>
      <c r="AH23" s="12"/>
    </row>
    <row r="24" spans="1:34" ht="15.75">
      <c r="A24" s="56"/>
      <c r="B24" s="391" t="str">
        <f ca="1">OFFSET(L!$C$1,MATCH("Declaration"&amp;ADDRESS(ROW(),COLUMN(),4),L!$A:$A,0)-1,SL,,)</f>
        <v>Answer the following questions 1 - 7 based on the declaration scope indicated above</v>
      </c>
      <c r="C24" s="391"/>
      <c r="D24" s="391"/>
      <c r="E24" s="391"/>
      <c r="F24" s="391"/>
      <c r="G24" s="391"/>
      <c r="H24" s="391"/>
      <c r="I24" s="391"/>
      <c r="J24" s="391"/>
      <c r="K24" s="57"/>
      <c r="L24" s="148"/>
      <c r="M24" s="142"/>
      <c r="N24" s="142"/>
      <c r="O24" s="143"/>
      <c r="P24" s="23"/>
      <c r="Q24" s="12"/>
      <c r="R24" s="12"/>
      <c r="S24" s="12"/>
      <c r="T24" s="12"/>
      <c r="U24" s="12"/>
      <c r="V24" s="12"/>
      <c r="W24" s="12"/>
      <c r="X24" s="12"/>
      <c r="Y24" s="12"/>
      <c r="Z24" s="12"/>
      <c r="AA24" s="12"/>
      <c r="AB24" s="12"/>
      <c r="AC24" s="12"/>
      <c r="AD24" s="12"/>
      <c r="AE24" s="12"/>
      <c r="AF24" s="12"/>
      <c r="AG24" s="12"/>
      <c r="AH24" s="12"/>
    </row>
    <row r="25" spans="1:34" ht="45.75">
      <c r="A25" s="55"/>
      <c r="B25" s="58" t="str">
        <f ca="1">OFFSET(L!$C$1,MATCH("Declaration"&amp;ADDRESS(ROW(),COLUMN(),4),L!$A:$A,0)-1,SL,,)</f>
        <v>1) Is the 3TG intentionally added to your product? (*)</v>
      </c>
      <c r="C25" s="20"/>
      <c r="D25" s="360" t="str">
        <f ca="1">OFFSET(L!$C$1,MATCH("Declaration"&amp;ADDRESS(ROW(),COLUMN(),4),L!$A:$A,0)-1,SL,,)</f>
        <v>Answer</v>
      </c>
      <c r="E25" s="360"/>
      <c r="F25" s="21"/>
      <c r="G25" s="58" t="str">
        <f ca="1">OFFSET(L!$C$1,MATCH("Declaration"&amp;ADDRESS(ROW(),COLUMN(),4),L!$A:$A,0)-1,SL,,)</f>
        <v>Comments</v>
      </c>
      <c r="H25" s="58"/>
      <c r="I25" s="58"/>
      <c r="J25" s="103"/>
      <c r="K25" s="50"/>
      <c r="L25" s="148" t="s">
        <v>2435</v>
      </c>
      <c r="M25" s="142"/>
      <c r="N25" s="142"/>
      <c r="O25" s="143"/>
      <c r="P25" s="23"/>
      <c r="Q25" s="12"/>
      <c r="R25" s="12"/>
      <c r="S25" s="12"/>
      <c r="T25" s="12"/>
      <c r="U25" s="12"/>
      <c r="V25" s="12"/>
      <c r="W25" s="12"/>
      <c r="X25" s="12"/>
      <c r="Y25" s="12"/>
      <c r="Z25" s="12"/>
      <c r="AA25" s="12"/>
      <c r="AB25" s="12"/>
      <c r="AC25" s="12"/>
      <c r="AD25" s="12"/>
      <c r="AE25" s="12"/>
      <c r="AF25" s="12"/>
      <c r="AG25" s="12"/>
      <c r="AH25" s="12"/>
    </row>
    <row r="26" spans="1:34" ht="22.5">
      <c r="A26" s="55"/>
      <c r="B26" s="54" t="str">
        <f ca="1">OFFSET(L!$C$1,MATCH("Declaration"&amp;ADDRESS(ROW(),COLUMN(),4),L!$A:$A,0)-1,SL,,)&amp;P26</f>
        <v>Tantalum  (*)</v>
      </c>
      <c r="C26" s="49"/>
      <c r="D26" s="342" t="s">
        <v>904</v>
      </c>
      <c r="E26" s="343"/>
      <c r="F26" s="15"/>
      <c r="G26" s="339"/>
      <c r="H26" s="340"/>
      <c r="I26" s="340"/>
      <c r="J26" s="341"/>
      <c r="K26" s="50"/>
      <c r="L26" s="154"/>
      <c r="M26" s="144"/>
      <c r="N26" s="142"/>
      <c r="O26" s="143"/>
      <c r="P26" s="156" t="s">
        <v>927</v>
      </c>
      <c r="R26" s="12"/>
      <c r="S26" s="12"/>
      <c r="T26" s="12"/>
      <c r="U26" s="12"/>
      <c r="V26" s="12"/>
      <c r="W26" s="12"/>
      <c r="X26" s="12"/>
      <c r="Y26" s="12"/>
      <c r="Z26" s="12"/>
      <c r="AA26" s="12"/>
      <c r="AB26" s="12"/>
      <c r="AC26" s="12"/>
      <c r="AD26" s="12"/>
      <c r="AE26" s="12"/>
      <c r="AF26" s="12"/>
      <c r="AG26" s="12"/>
      <c r="AH26" s="12"/>
    </row>
    <row r="27" spans="1:34" ht="22.5">
      <c r="A27" s="55"/>
      <c r="B27" s="54" t="str">
        <f ca="1">OFFSET(L!$C$1,MATCH("Declaration"&amp;ADDRESS(ROW(),COLUMN(),4),L!$A:$A,0)-1,SL,,)&amp;P27</f>
        <v>Tin  (*)</v>
      </c>
      <c r="C27" s="49"/>
      <c r="D27" s="342" t="s">
        <v>904</v>
      </c>
      <c r="E27" s="343"/>
      <c r="F27" s="15"/>
      <c r="G27" s="339"/>
      <c r="H27" s="340"/>
      <c r="I27" s="340"/>
      <c r="J27" s="341"/>
      <c r="K27" s="50"/>
      <c r="L27" s="154"/>
      <c r="M27" s="142"/>
      <c r="N27" s="142"/>
      <c r="O27" s="142"/>
      <c r="P27" s="156" t="s">
        <v>927</v>
      </c>
      <c r="R27" s="12"/>
      <c r="S27" s="12"/>
      <c r="T27" s="12"/>
      <c r="U27" s="12"/>
      <c r="V27" s="12"/>
      <c r="W27" s="12"/>
      <c r="X27" s="12"/>
      <c r="Y27" s="12"/>
      <c r="Z27" s="12"/>
      <c r="AA27" s="12"/>
      <c r="AB27" s="12"/>
      <c r="AC27" s="12"/>
      <c r="AD27" s="12"/>
      <c r="AE27" s="12"/>
      <c r="AF27" s="12"/>
      <c r="AG27" s="12"/>
      <c r="AH27" s="12"/>
    </row>
    <row r="28" spans="1:34" ht="22.5">
      <c r="A28" s="55"/>
      <c r="B28" s="54" t="str">
        <f ca="1">OFFSET(L!$C$1,MATCH("Declaration"&amp;ADDRESS(ROW(),COLUMN(),4),L!$A:$A,0)-1,SL,,)&amp;P28</f>
        <v>Gold  (*)</v>
      </c>
      <c r="C28" s="49"/>
      <c r="D28" s="342" t="s">
        <v>904</v>
      </c>
      <c r="E28" s="343"/>
      <c r="F28" s="15"/>
      <c r="G28" s="339"/>
      <c r="H28" s="340"/>
      <c r="I28" s="340"/>
      <c r="J28" s="341"/>
      <c r="K28" s="50"/>
      <c r="L28" s="154"/>
      <c r="M28" s="142"/>
      <c r="N28" s="142"/>
      <c r="O28" s="142"/>
      <c r="P28" s="156" t="s">
        <v>927</v>
      </c>
      <c r="R28" s="12"/>
      <c r="S28" s="12"/>
      <c r="T28" s="12"/>
      <c r="U28" s="12"/>
      <c r="V28" s="12"/>
      <c r="W28" s="12"/>
      <c r="X28" s="12"/>
      <c r="Y28" s="12"/>
      <c r="Z28" s="12"/>
      <c r="AA28" s="12"/>
      <c r="AB28" s="12"/>
      <c r="AC28" s="12"/>
      <c r="AD28" s="12"/>
      <c r="AE28" s="12"/>
      <c r="AF28" s="12"/>
      <c r="AG28" s="12"/>
      <c r="AH28" s="12"/>
    </row>
    <row r="29" spans="1:34" ht="22.5">
      <c r="A29" s="55"/>
      <c r="B29" s="54" t="str">
        <f ca="1">OFFSET(L!$C$1,MATCH("Declaration"&amp;ADDRESS(ROW(),COLUMN(),4),L!$A:$A,0)-1,SL,,)&amp;P29</f>
        <v>Tungsten  (*)</v>
      </c>
      <c r="C29" s="49"/>
      <c r="D29" s="342" t="s">
        <v>905</v>
      </c>
      <c r="E29" s="343"/>
      <c r="F29" s="15"/>
      <c r="G29" s="339"/>
      <c r="H29" s="340"/>
      <c r="I29" s="340"/>
      <c r="J29" s="341"/>
      <c r="K29" s="50"/>
      <c r="L29" s="154"/>
      <c r="M29" s="142"/>
      <c r="N29" s="142"/>
      <c r="O29" s="142"/>
      <c r="P29" s="156" t="s">
        <v>927</v>
      </c>
      <c r="R29" s="12"/>
      <c r="S29" s="12"/>
      <c r="T29" s="12"/>
      <c r="U29" s="12"/>
      <c r="V29" s="12"/>
      <c r="W29" s="12"/>
      <c r="X29" s="12"/>
      <c r="Y29" s="12"/>
      <c r="Z29" s="12"/>
      <c r="AA29" s="12"/>
      <c r="AB29" s="12"/>
      <c r="AC29" s="12"/>
      <c r="AD29" s="12"/>
      <c r="AE29" s="12"/>
      <c r="AF29" s="12"/>
      <c r="AG29" s="12"/>
      <c r="AH29" s="12"/>
    </row>
    <row r="30" spans="1:34" ht="18">
      <c r="A30" s="55"/>
      <c r="B30" s="60"/>
      <c r="C30" s="13"/>
      <c r="D30" s="60"/>
      <c r="E30" s="60"/>
      <c r="F30" s="27"/>
      <c r="G30" s="60"/>
      <c r="H30" s="168"/>
      <c r="I30" s="168"/>
      <c r="J30" s="168"/>
      <c r="K30" s="50"/>
      <c r="L30" s="148"/>
      <c r="M30" s="142"/>
      <c r="N30" s="142"/>
      <c r="O30" s="142"/>
      <c r="R30" s="12"/>
      <c r="S30" s="12"/>
      <c r="T30" s="12"/>
      <c r="U30" s="12"/>
      <c r="V30" s="12"/>
      <c r="W30" s="12"/>
      <c r="X30" s="12"/>
      <c r="Y30" s="12"/>
      <c r="Z30" s="12"/>
      <c r="AA30" s="12"/>
      <c r="AB30" s="12"/>
      <c r="AC30" s="12"/>
      <c r="AD30" s="12"/>
      <c r="AE30" s="12"/>
      <c r="AF30" s="12"/>
      <c r="AG30" s="12"/>
      <c r="AH30" s="12"/>
    </row>
    <row r="31" spans="1:34" ht="50.45" customHeight="1">
      <c r="A31" s="55"/>
      <c r="B31" s="58" t="str">
        <f ca="1">OFFSET(L!$C$1,MATCH("Declaration"&amp;ADDRESS(ROW(),COLUMN(),4),L!$A:$A,0)-1,SL,,)</f>
        <v>2) Is the 3TG necessary to the production of your company’s products and contained in the finished product that your company manufactures or contracts to manufacture?  (*)</v>
      </c>
      <c r="C31" s="13"/>
      <c r="D31" s="385" t="str">
        <f ca="1">D25</f>
        <v>Answer</v>
      </c>
      <c r="E31" s="385"/>
      <c r="F31" s="21"/>
      <c r="G31" s="58" t="str">
        <f ca="1">G25</f>
        <v>Comments</v>
      </c>
      <c r="H31" s="58"/>
      <c r="I31" s="58"/>
      <c r="J31" s="103"/>
      <c r="K31" s="50"/>
      <c r="L31" s="148" t="s">
        <v>2437</v>
      </c>
      <c r="M31" s="142"/>
      <c r="N31" s="142"/>
      <c r="O31" s="143"/>
      <c r="P31" s="12"/>
      <c r="Q31" s="12"/>
      <c r="R31" s="12"/>
      <c r="S31" s="12"/>
      <c r="T31" s="12"/>
      <c r="U31" s="12"/>
      <c r="V31" s="12"/>
      <c r="W31" s="12"/>
      <c r="X31" s="12"/>
      <c r="Y31" s="12"/>
      <c r="Z31" s="12"/>
      <c r="AA31" s="12"/>
      <c r="AB31" s="12"/>
      <c r="AC31" s="12"/>
      <c r="AD31" s="12"/>
      <c r="AE31" s="12"/>
      <c r="AF31" s="12"/>
      <c r="AG31" s="12"/>
      <c r="AH31" s="12"/>
    </row>
    <row r="32" spans="1:34" ht="22.5">
      <c r="A32" s="55"/>
      <c r="B32" s="54" t="str">
        <f ca="1">B26</f>
        <v>Tantalum  (*)</v>
      </c>
      <c r="C32" s="13"/>
      <c r="D32" s="342" t="s">
        <v>904</v>
      </c>
      <c r="E32" s="343"/>
      <c r="F32" s="61"/>
      <c r="G32" s="339"/>
      <c r="H32" s="340"/>
      <c r="I32" s="340"/>
      <c r="J32" s="341"/>
      <c r="K32" s="50"/>
      <c r="L32" s="154"/>
      <c r="M32" s="144"/>
      <c r="N32" s="142"/>
      <c r="O32" s="143"/>
      <c r="Q32" s="12"/>
      <c r="R32" s="12"/>
      <c r="S32" s="12"/>
      <c r="T32" s="12"/>
      <c r="U32" s="12"/>
      <c r="V32" s="12"/>
      <c r="W32" s="12"/>
      <c r="X32" s="12"/>
      <c r="Y32" s="12"/>
      <c r="Z32" s="12"/>
      <c r="AA32" s="12"/>
      <c r="AB32" s="12"/>
      <c r="AC32" s="12"/>
      <c r="AD32" s="12"/>
      <c r="AE32" s="12"/>
      <c r="AF32" s="12"/>
      <c r="AG32" s="12"/>
      <c r="AH32" s="12"/>
    </row>
    <row r="33" spans="1:34" ht="22.5">
      <c r="A33" s="55"/>
      <c r="B33" s="54" t="str">
        <f ca="1">B27</f>
        <v>Tin  (*)</v>
      </c>
      <c r="C33" s="13"/>
      <c r="D33" s="342" t="s">
        <v>904</v>
      </c>
      <c r="E33" s="343"/>
      <c r="F33" s="61"/>
      <c r="G33" s="339"/>
      <c r="H33" s="340"/>
      <c r="I33" s="340"/>
      <c r="J33" s="341"/>
      <c r="K33" s="50"/>
      <c r="L33" s="154"/>
      <c r="M33" s="142"/>
      <c r="N33" s="142"/>
      <c r="O33" s="143"/>
      <c r="Q33" s="12"/>
      <c r="R33" s="12"/>
      <c r="S33" s="12"/>
      <c r="T33" s="12"/>
      <c r="U33" s="12"/>
      <c r="V33" s="12"/>
      <c r="W33" s="12"/>
      <c r="X33" s="12"/>
      <c r="Y33" s="12"/>
      <c r="Z33" s="12"/>
      <c r="AA33" s="12"/>
      <c r="AB33" s="12"/>
      <c r="AC33" s="12"/>
      <c r="AD33" s="12"/>
      <c r="AE33" s="12"/>
      <c r="AF33" s="12"/>
      <c r="AG33" s="12"/>
      <c r="AH33" s="12"/>
    </row>
    <row r="34" spans="1:34" ht="22.5">
      <c r="A34" s="55"/>
      <c r="B34" s="54" t="str">
        <f ca="1">B28</f>
        <v>Gold  (*)</v>
      </c>
      <c r="C34" s="13"/>
      <c r="D34" s="342" t="s">
        <v>904</v>
      </c>
      <c r="E34" s="343"/>
      <c r="F34" s="61"/>
      <c r="G34" s="339"/>
      <c r="H34" s="340"/>
      <c r="I34" s="340"/>
      <c r="J34" s="341"/>
      <c r="K34" s="50"/>
      <c r="L34" s="154"/>
      <c r="M34" s="142"/>
      <c r="N34" s="142"/>
      <c r="O34" s="143"/>
      <c r="Q34" s="12"/>
      <c r="R34" s="12"/>
      <c r="S34" s="12"/>
      <c r="T34" s="12"/>
      <c r="U34" s="12"/>
      <c r="V34" s="12"/>
      <c r="W34" s="12"/>
      <c r="X34" s="12"/>
      <c r="Y34" s="12"/>
      <c r="Z34" s="12"/>
      <c r="AA34" s="12"/>
      <c r="AB34" s="12"/>
      <c r="AC34" s="12"/>
      <c r="AD34" s="12"/>
      <c r="AE34" s="12"/>
      <c r="AF34" s="12"/>
      <c r="AG34" s="12"/>
      <c r="AH34" s="12"/>
    </row>
    <row r="35" spans="1:34" ht="22.5">
      <c r="A35" s="55"/>
      <c r="B35" s="54" t="str">
        <f ca="1">B29</f>
        <v>Tungsten  (*)</v>
      </c>
      <c r="C35" s="13"/>
      <c r="D35" s="342" t="s">
        <v>905</v>
      </c>
      <c r="E35" s="343"/>
      <c r="F35" s="61"/>
      <c r="G35" s="339"/>
      <c r="H35" s="340"/>
      <c r="I35" s="340"/>
      <c r="J35" s="341"/>
      <c r="K35" s="50"/>
      <c r="L35" s="154"/>
      <c r="M35" s="142"/>
      <c r="N35" s="142"/>
      <c r="O35" s="143"/>
      <c r="Q35" s="12"/>
      <c r="R35" s="12"/>
      <c r="S35" s="12"/>
      <c r="T35" s="12"/>
      <c r="U35" s="12"/>
      <c r="V35" s="12"/>
      <c r="W35" s="12"/>
      <c r="X35" s="12"/>
      <c r="Y35" s="12"/>
      <c r="Z35" s="12"/>
      <c r="AA35" s="12"/>
      <c r="AB35" s="12"/>
      <c r="AC35" s="12"/>
      <c r="AD35" s="12"/>
      <c r="AE35" s="12"/>
      <c r="AF35" s="12"/>
      <c r="AG35" s="12"/>
      <c r="AH35" s="12"/>
    </row>
    <row r="36" spans="1:34" ht="18">
      <c r="A36" s="55"/>
      <c r="B36" s="27"/>
      <c r="C36" s="13"/>
      <c r="D36" s="27"/>
      <c r="E36" s="27"/>
      <c r="F36" s="104"/>
      <c r="G36" s="27"/>
      <c r="H36" s="168"/>
      <c r="I36" s="168"/>
      <c r="J36" s="168"/>
      <c r="K36" s="50"/>
      <c r="L36" s="148"/>
      <c r="M36" s="142"/>
      <c r="N36" s="142"/>
      <c r="O36" s="143"/>
      <c r="P36" s="12"/>
      <c r="Q36" s="12"/>
      <c r="R36" s="12"/>
      <c r="S36" s="12"/>
      <c r="T36" s="12"/>
      <c r="U36" s="12"/>
      <c r="V36" s="12"/>
      <c r="W36" s="12"/>
      <c r="X36" s="12"/>
      <c r="Y36" s="12"/>
      <c r="Z36" s="12"/>
      <c r="AA36" s="12"/>
      <c r="AB36" s="12"/>
      <c r="AC36" s="12"/>
      <c r="AD36" s="12"/>
      <c r="AE36" s="12"/>
      <c r="AF36" s="12"/>
      <c r="AG36" s="12"/>
      <c r="AH36" s="12"/>
    </row>
    <row r="37" spans="1:34" ht="43.5" customHeight="1">
      <c r="A37" s="55"/>
      <c r="B37" s="58" t="str">
        <f ca="1">OFFSET(L!$C$1,MATCH("Declaration"&amp;ADDRESS(ROW(),COLUMN(),4),L!$A:$A,0)-1,SL,,)&amp;Q$37</f>
        <v>3) Do any of the smelters in your supply chain source the 3TG from the covered countries? (SEC term, see definitions tab) (*)</v>
      </c>
      <c r="C37" s="13"/>
      <c r="D37" s="385" t="str">
        <f ca="1">D25</f>
        <v>Answer</v>
      </c>
      <c r="E37" s="385"/>
      <c r="F37" s="21"/>
      <c r="G37" s="58" t="str">
        <f ca="1">G25</f>
        <v>Comments</v>
      </c>
      <c r="H37" s="348"/>
      <c r="I37" s="348"/>
      <c r="J37" s="348"/>
      <c r="K37" s="50"/>
      <c r="L37" s="148" t="s">
        <v>2437</v>
      </c>
      <c r="M37" s="142"/>
      <c r="N37" s="142"/>
      <c r="O37" s="143"/>
      <c r="P37" s="59">
        <f ca="1">COUNTIF(D$25:D$35,"No")</f>
        <v>2</v>
      </c>
      <c r="Q37" s="59" t="str">
        <f ca="1">IF(P37=8,""," (*)")</f>
        <v xml:space="preserve"> (*)</v>
      </c>
      <c r="R37" s="12"/>
      <c r="S37" s="12"/>
      <c r="T37" s="12"/>
      <c r="U37" s="12"/>
      <c r="V37" s="12"/>
      <c r="W37" s="12"/>
      <c r="X37" s="12"/>
      <c r="Y37" s="12"/>
      <c r="Z37" s="12"/>
      <c r="AA37" s="12"/>
      <c r="AB37" s="12"/>
      <c r="AC37" s="12"/>
      <c r="AD37" s="12"/>
      <c r="AE37" s="12"/>
      <c r="AF37" s="12"/>
      <c r="AG37" s="12"/>
      <c r="AH37" s="12"/>
    </row>
    <row r="38" spans="1:34" ht="22.5">
      <c r="A38" s="55"/>
      <c r="B38" s="54" t="str">
        <f ca="1">OFFSET(L!$C$1,MATCH("Declaration"&amp;ADDRESS(ROW(),COLUMN(),4),L!$A:$A,0)-1,SL,,)&amp;P38</f>
        <v>Tantalum  (*)</v>
      </c>
      <c r="C38" s="13"/>
      <c r="D38" s="342" t="s">
        <v>905</v>
      </c>
      <c r="E38" s="343"/>
      <c r="F38" s="61"/>
      <c r="G38" s="339"/>
      <c r="H38" s="340"/>
      <c r="I38" s="340"/>
      <c r="J38" s="341"/>
      <c r="K38" s="50"/>
      <c r="L38" s="154"/>
      <c r="M38" s="144"/>
      <c r="N38" s="142"/>
      <c r="O38" s="143"/>
      <c r="P38" s="156" t="str">
        <f>IF(AND(D26="No",D32="No"),"","(*)")</f>
        <v>(*)</v>
      </c>
      <c r="Q38" s="12"/>
      <c r="R38" s="12"/>
      <c r="S38" s="12"/>
      <c r="T38" s="12"/>
      <c r="U38" s="12"/>
      <c r="V38" s="12"/>
      <c r="W38" s="12"/>
      <c r="X38" s="12"/>
      <c r="Y38" s="12"/>
      <c r="Z38" s="12"/>
      <c r="AA38" s="12"/>
      <c r="AB38" s="12"/>
      <c r="AC38" s="12"/>
      <c r="AD38" s="12"/>
      <c r="AE38" s="12"/>
      <c r="AF38" s="12"/>
      <c r="AG38" s="12"/>
      <c r="AH38" s="12"/>
    </row>
    <row r="39" spans="1:34" ht="22.5">
      <c r="A39" s="55"/>
      <c r="B39" s="54" t="str">
        <f ca="1">OFFSET(L!$C$1,MATCH("Declaration"&amp;ADDRESS(ROW(),COLUMN(),4),L!$A:$A,0)-1,SL,,)&amp;P39</f>
        <v>Tin  (*)</v>
      </c>
      <c r="C39" s="13"/>
      <c r="D39" s="342" t="s">
        <v>905</v>
      </c>
      <c r="E39" s="343"/>
      <c r="F39" s="61"/>
      <c r="G39" s="339"/>
      <c r="H39" s="340"/>
      <c r="I39" s="340"/>
      <c r="J39" s="341"/>
      <c r="K39" s="50"/>
      <c r="L39" s="154"/>
      <c r="M39" s="142"/>
      <c r="N39" s="142"/>
      <c r="O39" s="143"/>
      <c r="P39" s="156" t="str">
        <f>IF(AND(D27="No",D33="No"),"","(*)")</f>
        <v>(*)</v>
      </c>
      <c r="Q39" s="12"/>
      <c r="R39" s="12"/>
      <c r="S39" s="12"/>
      <c r="T39" s="12"/>
      <c r="U39" s="12"/>
      <c r="V39" s="12"/>
      <c r="W39" s="12"/>
      <c r="X39" s="12"/>
      <c r="Y39" s="12"/>
      <c r="Z39" s="12"/>
      <c r="AA39" s="12"/>
      <c r="AB39" s="12"/>
      <c r="AC39" s="12"/>
      <c r="AD39" s="12"/>
      <c r="AE39" s="12"/>
      <c r="AF39" s="12"/>
      <c r="AG39" s="12"/>
      <c r="AH39" s="12"/>
    </row>
    <row r="40" spans="1:34" ht="22.5">
      <c r="A40" s="55"/>
      <c r="B40" s="54" t="str">
        <f ca="1">OFFSET(L!$C$1,MATCH("Declaration"&amp;ADDRESS(ROW(),COLUMN(),4),L!$A:$A,0)-1,SL,,)&amp;P40</f>
        <v>Gold  (*)</v>
      </c>
      <c r="C40" s="13"/>
      <c r="D40" s="342" t="s">
        <v>905</v>
      </c>
      <c r="E40" s="343"/>
      <c r="F40" s="61"/>
      <c r="G40" s="339"/>
      <c r="H40" s="340"/>
      <c r="I40" s="340"/>
      <c r="J40" s="341"/>
      <c r="K40" s="50"/>
      <c r="L40" s="154"/>
      <c r="M40" s="142"/>
      <c r="N40" s="142"/>
      <c r="O40" s="143"/>
      <c r="P40" s="156" t="str">
        <f>IF(AND(D28="No",D34="No"),"","(*)")</f>
        <v>(*)</v>
      </c>
      <c r="Q40" s="12"/>
      <c r="R40" s="12"/>
      <c r="S40" s="12"/>
      <c r="T40" s="12"/>
      <c r="U40" s="12"/>
      <c r="V40" s="12"/>
      <c r="W40" s="12"/>
      <c r="X40" s="12"/>
      <c r="Y40" s="12"/>
      <c r="Z40" s="12"/>
      <c r="AA40" s="12"/>
      <c r="AB40" s="12"/>
      <c r="AC40" s="12"/>
      <c r="AD40" s="12"/>
      <c r="AE40" s="12"/>
      <c r="AF40" s="12"/>
      <c r="AG40" s="12"/>
      <c r="AH40" s="12"/>
    </row>
    <row r="41" spans="1:34" ht="22.5">
      <c r="A41" s="55"/>
      <c r="B41" s="54" t="str">
        <f ca="1">OFFSET(L!$C$1,MATCH("Declaration"&amp;ADDRESS(ROW(),COLUMN(),4),L!$A:$A,0)-1,SL,,)&amp;P41</f>
        <v xml:space="preserve">Tungsten  </v>
      </c>
      <c r="C41" s="13"/>
      <c r="D41" s="342"/>
      <c r="E41" s="343"/>
      <c r="F41" s="61"/>
      <c r="G41" s="339"/>
      <c r="H41" s="340"/>
      <c r="I41" s="340"/>
      <c r="J41" s="341"/>
      <c r="K41" s="50"/>
      <c r="L41" s="154"/>
      <c r="M41" s="142"/>
      <c r="N41" s="142"/>
      <c r="O41" s="143"/>
      <c r="P41" s="156" t="str">
        <f>IF(AND(D29="No",D35="No"),"","(*)")</f>
        <v/>
      </c>
      <c r="Q41" s="12"/>
      <c r="R41" s="12"/>
      <c r="S41" s="12"/>
      <c r="T41" s="12"/>
      <c r="U41" s="12"/>
      <c r="V41" s="12"/>
      <c r="W41" s="12"/>
      <c r="X41" s="12"/>
      <c r="Y41" s="12"/>
      <c r="Z41" s="12"/>
      <c r="AA41" s="12"/>
      <c r="AB41" s="12"/>
      <c r="AC41" s="12"/>
      <c r="AD41" s="12"/>
      <c r="AE41" s="12"/>
      <c r="AF41" s="12"/>
      <c r="AG41" s="12"/>
      <c r="AH41" s="12"/>
    </row>
    <row r="42" spans="1:34" ht="18">
      <c r="A42" s="55"/>
      <c r="B42" s="27"/>
      <c r="C42" s="13"/>
      <c r="D42" s="27"/>
      <c r="E42" s="27"/>
      <c r="F42" s="104"/>
      <c r="G42" s="27"/>
      <c r="H42" s="168"/>
      <c r="I42" s="168"/>
      <c r="J42" s="168"/>
      <c r="K42" s="50"/>
      <c r="L42" s="148"/>
      <c r="M42" s="142"/>
      <c r="N42" s="142"/>
      <c r="O42" s="143"/>
      <c r="Q42" s="12"/>
      <c r="R42" s="12"/>
      <c r="S42" s="12"/>
      <c r="T42" s="12"/>
      <c r="U42" s="12"/>
      <c r="V42" s="12"/>
      <c r="W42" s="12"/>
      <c r="X42" s="12"/>
      <c r="Y42" s="12"/>
      <c r="Z42" s="12"/>
      <c r="AA42" s="12"/>
      <c r="AB42" s="12"/>
      <c r="AC42" s="12"/>
      <c r="AD42" s="12"/>
      <c r="AE42" s="12"/>
      <c r="AF42" s="12"/>
      <c r="AG42" s="12"/>
      <c r="AH42" s="12"/>
    </row>
    <row r="43" spans="1:34" ht="48.6" customHeight="1">
      <c r="A43" s="55"/>
      <c r="B43" s="58" t="str">
        <f ca="1">OFFSET(L!$C$1,MATCH("Declaration"&amp;ADDRESS(ROW(),COLUMN(),4),L!$A:$A,0)-1,SL,,)&amp;Q$37</f>
        <v>4) Does 100 percent of the 3TG (necessary to the functionality or production of your products) originate from recycled or scrap sources?  (*)</v>
      </c>
      <c r="C43" s="13"/>
      <c r="D43" s="385" t="str">
        <f ca="1">D25</f>
        <v>Answer</v>
      </c>
      <c r="E43" s="385"/>
      <c r="F43" s="21"/>
      <c r="G43" s="58" t="str">
        <f ca="1">G25</f>
        <v>Comments</v>
      </c>
      <c r="H43" s="58"/>
      <c r="I43" s="58"/>
      <c r="J43" s="103"/>
      <c r="K43" s="50"/>
      <c r="L43" s="148" t="s">
        <v>2436</v>
      </c>
      <c r="M43" s="142"/>
      <c r="N43" s="142"/>
      <c r="O43" s="143"/>
      <c r="P43" s="12"/>
      <c r="Q43" s="12"/>
      <c r="R43" s="12"/>
      <c r="S43" s="12"/>
      <c r="T43" s="12"/>
      <c r="U43" s="12"/>
      <c r="V43" s="12"/>
      <c r="W43" s="12"/>
      <c r="X43" s="12"/>
      <c r="Y43" s="12"/>
      <c r="Z43" s="12"/>
      <c r="AA43" s="12"/>
      <c r="AB43" s="12"/>
      <c r="AC43" s="12"/>
      <c r="AD43" s="12"/>
      <c r="AE43" s="12"/>
      <c r="AF43" s="12"/>
      <c r="AG43" s="12"/>
      <c r="AH43" s="12"/>
    </row>
    <row r="44" spans="1:34" ht="22.5">
      <c r="A44" s="55"/>
      <c r="B44" s="54" t="str">
        <f ca="1">B38</f>
        <v>Tantalum  (*)</v>
      </c>
      <c r="C44" s="13"/>
      <c r="D44" s="342" t="s">
        <v>906</v>
      </c>
      <c r="E44" s="343"/>
      <c r="F44" s="61"/>
      <c r="G44" s="339"/>
      <c r="H44" s="340"/>
      <c r="I44" s="340"/>
      <c r="J44" s="341"/>
      <c r="K44" s="50"/>
      <c r="L44" s="154"/>
      <c r="M44" s="144"/>
      <c r="N44" s="142"/>
      <c r="O44" s="143"/>
      <c r="P44" s="12"/>
      <c r="Q44" s="12"/>
      <c r="R44" s="12"/>
      <c r="S44" s="12"/>
      <c r="T44" s="12"/>
      <c r="U44" s="12"/>
      <c r="V44" s="12"/>
      <c r="W44" s="12"/>
      <c r="X44" s="12"/>
      <c r="Y44" s="12"/>
      <c r="Z44" s="12"/>
      <c r="AA44" s="12"/>
      <c r="AB44" s="12"/>
      <c r="AC44" s="12"/>
      <c r="AD44" s="12"/>
      <c r="AE44" s="12"/>
      <c r="AF44" s="12"/>
      <c r="AG44" s="12"/>
      <c r="AH44" s="12"/>
    </row>
    <row r="45" spans="1:34" ht="22.5">
      <c r="A45" s="55"/>
      <c r="B45" s="54" t="str">
        <f ca="1">B39</f>
        <v>Tin  (*)</v>
      </c>
      <c r="C45" s="13"/>
      <c r="D45" s="342" t="s">
        <v>906</v>
      </c>
      <c r="E45" s="343"/>
      <c r="F45" s="61"/>
      <c r="G45" s="339"/>
      <c r="H45" s="340"/>
      <c r="I45" s="340"/>
      <c r="J45" s="341"/>
      <c r="K45" s="50"/>
      <c r="L45" s="154"/>
      <c r="M45" s="142"/>
      <c r="N45" s="142"/>
      <c r="O45" s="143"/>
      <c r="P45" s="12"/>
      <c r="Q45" s="12"/>
      <c r="R45" s="12"/>
      <c r="S45" s="12"/>
      <c r="T45" s="12"/>
      <c r="U45" s="12"/>
      <c r="V45" s="12"/>
      <c r="W45" s="12"/>
      <c r="X45" s="12"/>
      <c r="Y45" s="12"/>
      <c r="Z45" s="12"/>
      <c r="AA45" s="12"/>
      <c r="AB45" s="12"/>
      <c r="AC45" s="12"/>
      <c r="AD45" s="12"/>
      <c r="AE45" s="12"/>
      <c r="AF45" s="12"/>
      <c r="AG45" s="12"/>
      <c r="AH45" s="12"/>
    </row>
    <row r="46" spans="1:34" ht="22.5">
      <c r="A46" s="55"/>
      <c r="B46" s="54" t="str">
        <f ca="1">B40</f>
        <v>Gold  (*)</v>
      </c>
      <c r="C46" s="13"/>
      <c r="D46" s="342" t="s">
        <v>906</v>
      </c>
      <c r="E46" s="343"/>
      <c r="F46" s="61"/>
      <c r="G46" s="339"/>
      <c r="H46" s="340"/>
      <c r="I46" s="340"/>
      <c r="J46" s="341"/>
      <c r="K46" s="50"/>
      <c r="L46" s="154"/>
      <c r="M46" s="142"/>
      <c r="N46" s="142"/>
      <c r="O46" s="143"/>
      <c r="P46" s="12"/>
      <c r="Q46" s="12"/>
      <c r="R46" s="12"/>
      <c r="S46" s="12"/>
      <c r="T46" s="12"/>
      <c r="U46" s="12"/>
      <c r="V46" s="12"/>
      <c r="W46" s="12"/>
      <c r="X46" s="12"/>
      <c r="Y46" s="12"/>
      <c r="Z46" s="12"/>
      <c r="AA46" s="12"/>
      <c r="AB46" s="12"/>
      <c r="AC46" s="12"/>
      <c r="AD46" s="12"/>
      <c r="AE46" s="12"/>
      <c r="AF46" s="12"/>
      <c r="AG46" s="12"/>
      <c r="AH46" s="12"/>
    </row>
    <row r="47" spans="1:34" ht="22.5">
      <c r="A47" s="55"/>
      <c r="B47" s="54" t="str">
        <f ca="1">B41</f>
        <v xml:space="preserve">Tungsten  </v>
      </c>
      <c r="C47" s="13"/>
      <c r="D47" s="342"/>
      <c r="E47" s="343"/>
      <c r="F47" s="61"/>
      <c r="G47" s="339"/>
      <c r="H47" s="340"/>
      <c r="I47" s="340"/>
      <c r="J47" s="341"/>
      <c r="K47" s="50"/>
      <c r="L47" s="154"/>
      <c r="M47" s="142"/>
      <c r="N47" s="142"/>
      <c r="O47" s="143"/>
      <c r="P47" s="12"/>
      <c r="Q47" s="12"/>
      <c r="R47" s="12"/>
      <c r="S47" s="12"/>
      <c r="T47" s="12"/>
      <c r="U47" s="12"/>
      <c r="V47" s="12"/>
      <c r="W47" s="12"/>
      <c r="X47" s="12"/>
      <c r="Y47" s="12"/>
      <c r="Z47" s="12"/>
      <c r="AA47" s="12"/>
      <c r="AB47" s="12"/>
      <c r="AC47" s="12"/>
      <c r="AD47" s="12"/>
      <c r="AE47" s="12"/>
      <c r="AF47" s="12"/>
      <c r="AG47" s="12"/>
      <c r="AH47" s="12"/>
    </row>
    <row r="48" spans="1:34" ht="18">
      <c r="A48" s="55"/>
      <c r="B48" s="27"/>
      <c r="C48" s="13"/>
      <c r="D48" s="27"/>
      <c r="E48" s="27"/>
      <c r="F48" s="104"/>
      <c r="G48" s="27"/>
      <c r="H48" s="168"/>
      <c r="I48" s="168"/>
      <c r="J48" s="168"/>
      <c r="K48" s="50"/>
      <c r="L48" s="148"/>
      <c r="M48" s="142"/>
      <c r="N48" s="142"/>
      <c r="O48" s="143"/>
      <c r="P48" s="12"/>
      <c r="Q48" s="12"/>
      <c r="R48" s="12"/>
      <c r="S48" s="12"/>
      <c r="T48" s="12"/>
      <c r="U48" s="12"/>
      <c r="V48" s="12"/>
      <c r="W48" s="12"/>
      <c r="X48" s="12"/>
      <c r="Y48" s="12"/>
      <c r="Z48" s="12"/>
      <c r="AA48" s="12"/>
      <c r="AB48" s="12"/>
      <c r="AC48" s="12"/>
      <c r="AD48" s="12"/>
      <c r="AE48" s="12"/>
      <c r="AF48" s="12"/>
      <c r="AG48" s="12"/>
      <c r="AH48" s="12"/>
    </row>
    <row r="49" spans="1:34" ht="53.45" customHeight="1">
      <c r="A49" s="55"/>
      <c r="B49" s="178" t="str">
        <f ca="1">OFFSET(L!$C$1,MATCH("Declaration"&amp;ADDRESS(ROW(),COLUMN(),4),L!$A:$A,0)-1,SL,,)&amp;Q$37</f>
        <v>5) Have you received data/information for each 3TG from all relevant suppliers? (*)</v>
      </c>
      <c r="C49" s="13"/>
      <c r="D49" s="385" t="str">
        <f ca="1">D25</f>
        <v>Answer</v>
      </c>
      <c r="E49" s="385"/>
      <c r="F49" s="21"/>
      <c r="G49" s="58" t="str">
        <f ca="1">G25</f>
        <v>Comments</v>
      </c>
      <c r="H49" s="169"/>
      <c r="I49" s="169"/>
      <c r="J49" s="169"/>
      <c r="K49" s="50"/>
      <c r="L49" s="148" t="s">
        <v>2437</v>
      </c>
      <c r="M49" s="142"/>
      <c r="N49" s="142"/>
      <c r="O49" s="143"/>
      <c r="P49" s="12"/>
      <c r="Q49" s="12"/>
      <c r="R49" s="12"/>
      <c r="S49" s="12"/>
      <c r="T49" s="12"/>
      <c r="U49" s="12"/>
      <c r="V49" s="12"/>
      <c r="W49" s="12"/>
      <c r="X49" s="12"/>
      <c r="Y49" s="12"/>
      <c r="Z49" s="12"/>
      <c r="AA49" s="12"/>
      <c r="AB49" s="12"/>
      <c r="AC49" s="12"/>
      <c r="AD49" s="12"/>
      <c r="AE49" s="12"/>
      <c r="AF49" s="12"/>
      <c r="AG49" s="12"/>
      <c r="AH49" s="12"/>
    </row>
    <row r="50" spans="1:34" ht="22.5">
      <c r="A50" s="55"/>
      <c r="B50" s="54" t="str">
        <f ca="1">B38</f>
        <v>Tantalum  (*)</v>
      </c>
      <c r="C50" s="49"/>
      <c r="D50" s="342" t="s">
        <v>907</v>
      </c>
      <c r="E50" s="343"/>
      <c r="F50" s="61"/>
      <c r="G50" s="339"/>
      <c r="H50" s="340"/>
      <c r="I50" s="340"/>
      <c r="J50" s="341"/>
      <c r="K50" s="50"/>
      <c r="L50" s="154"/>
      <c r="M50" s="144"/>
      <c r="N50" s="142"/>
      <c r="O50" s="143"/>
      <c r="P50" s="12"/>
      <c r="Q50" s="12"/>
      <c r="R50" s="12"/>
      <c r="S50" s="12"/>
      <c r="T50" s="12"/>
      <c r="U50" s="12"/>
      <c r="V50" s="12"/>
      <c r="W50" s="12"/>
      <c r="X50" s="12"/>
      <c r="Y50" s="12"/>
      <c r="Z50" s="12"/>
      <c r="AA50" s="12"/>
      <c r="AB50" s="12"/>
      <c r="AC50" s="12"/>
      <c r="AD50" s="12"/>
      <c r="AE50" s="12"/>
      <c r="AF50" s="12"/>
      <c r="AG50" s="12"/>
      <c r="AH50" s="12"/>
    </row>
    <row r="51" spans="1:34" ht="22.5">
      <c r="A51" s="55"/>
      <c r="B51" s="54" t="str">
        <f ca="1">B39</f>
        <v>Tin  (*)</v>
      </c>
      <c r="C51" s="49"/>
      <c r="D51" s="342" t="s">
        <v>907</v>
      </c>
      <c r="E51" s="343"/>
      <c r="F51" s="61"/>
      <c r="G51" s="339"/>
      <c r="H51" s="340"/>
      <c r="I51" s="340"/>
      <c r="J51" s="341"/>
      <c r="K51" s="50"/>
      <c r="L51" s="154"/>
      <c r="M51" s="142"/>
      <c r="N51" s="142"/>
      <c r="O51" s="143"/>
      <c r="P51" s="12"/>
      <c r="Q51" s="12"/>
      <c r="R51" s="12"/>
      <c r="S51" s="12"/>
      <c r="T51" s="12"/>
      <c r="U51" s="12"/>
      <c r="V51" s="12"/>
      <c r="W51" s="12"/>
      <c r="X51" s="12"/>
      <c r="Y51" s="12"/>
      <c r="Z51" s="12"/>
      <c r="AA51" s="12"/>
      <c r="AB51" s="12"/>
      <c r="AC51" s="12"/>
      <c r="AD51" s="12"/>
      <c r="AE51" s="12"/>
      <c r="AF51" s="12"/>
      <c r="AG51" s="12"/>
      <c r="AH51" s="12"/>
    </row>
    <row r="52" spans="1:34" ht="22.5">
      <c r="A52" s="55"/>
      <c r="B52" s="54" t="str">
        <f ca="1">B40</f>
        <v>Gold  (*)</v>
      </c>
      <c r="C52" s="49"/>
      <c r="D52" s="342" t="s">
        <v>907</v>
      </c>
      <c r="E52" s="343"/>
      <c r="F52" s="61"/>
      <c r="G52" s="339"/>
      <c r="H52" s="340"/>
      <c r="I52" s="340"/>
      <c r="J52" s="341"/>
      <c r="K52" s="50"/>
      <c r="L52" s="154"/>
      <c r="M52" s="142"/>
      <c r="N52" s="142"/>
      <c r="O52" s="143"/>
      <c r="P52" s="12"/>
      <c r="Q52" s="12"/>
      <c r="R52" s="12"/>
      <c r="S52" s="12"/>
      <c r="T52" s="12"/>
      <c r="U52" s="12"/>
      <c r="V52" s="12"/>
      <c r="W52" s="12"/>
      <c r="X52" s="12"/>
      <c r="Y52" s="12"/>
      <c r="Z52" s="12"/>
      <c r="AA52" s="12"/>
      <c r="AB52" s="12"/>
      <c r="AC52" s="12"/>
      <c r="AD52" s="12"/>
      <c r="AE52" s="12"/>
      <c r="AF52" s="12"/>
      <c r="AG52" s="12"/>
      <c r="AH52" s="12"/>
    </row>
    <row r="53" spans="1:34" ht="22.5">
      <c r="A53" s="55"/>
      <c r="B53" s="54" t="str">
        <f ca="1">B41</f>
        <v xml:space="preserve">Tungsten  </v>
      </c>
      <c r="C53" s="49"/>
      <c r="D53" s="342"/>
      <c r="E53" s="343"/>
      <c r="F53" s="61"/>
      <c r="G53" s="339"/>
      <c r="H53" s="340"/>
      <c r="I53" s="340"/>
      <c r="J53" s="341"/>
      <c r="K53" s="50"/>
      <c r="L53" s="154"/>
      <c r="M53" s="142"/>
      <c r="N53" s="142"/>
      <c r="O53" s="143"/>
      <c r="P53" s="12"/>
      <c r="Q53" s="12"/>
      <c r="R53" s="12"/>
      <c r="S53" s="12"/>
      <c r="T53" s="12"/>
      <c r="U53" s="12"/>
      <c r="V53" s="12"/>
      <c r="W53" s="12"/>
      <c r="X53" s="12"/>
      <c r="Y53" s="12"/>
      <c r="Z53" s="12"/>
      <c r="AA53" s="12"/>
      <c r="AB53" s="12"/>
      <c r="AC53" s="12"/>
      <c r="AD53" s="12"/>
      <c r="AE53" s="12"/>
      <c r="AF53" s="12"/>
      <c r="AG53" s="12"/>
      <c r="AH53" s="12"/>
    </row>
    <row r="54" spans="1:34" ht="15.75">
      <c r="A54" s="55"/>
      <c r="B54" s="60"/>
      <c r="C54" s="13"/>
      <c r="D54" s="105"/>
      <c r="E54" s="105"/>
      <c r="F54" s="104"/>
      <c r="G54" s="106"/>
      <c r="H54" s="106"/>
      <c r="I54" s="106"/>
      <c r="J54" s="106"/>
      <c r="K54" s="50"/>
      <c r="L54" s="148"/>
      <c r="M54" s="149"/>
      <c r="N54" s="142"/>
      <c r="O54" s="143"/>
      <c r="P54" s="12"/>
      <c r="Q54" s="12"/>
      <c r="R54" s="12"/>
      <c r="S54" s="12"/>
      <c r="T54" s="12"/>
      <c r="U54" s="12"/>
      <c r="V54" s="12"/>
      <c r="W54" s="12"/>
      <c r="X54" s="12"/>
      <c r="Y54" s="12"/>
      <c r="Z54" s="12"/>
      <c r="AA54" s="12"/>
      <c r="AB54" s="12"/>
      <c r="AC54" s="12"/>
      <c r="AD54" s="12"/>
      <c r="AE54" s="12"/>
      <c r="AF54" s="12"/>
      <c r="AG54" s="12"/>
      <c r="AH54" s="12"/>
    </row>
    <row r="55" spans="1:34" ht="45.75">
      <c r="A55" s="55"/>
      <c r="B55" s="178" t="str">
        <f ca="1">OFFSET(L!$C$1,MATCH("Declaration"&amp;ADDRESS(ROW(),COLUMN(),4),L!$A:$A,0)-1,SL,,)&amp;Q$37</f>
        <v>6) Have you identified all of the smelters supplying the 3TG to your supply chain?  (*)</v>
      </c>
      <c r="C55" s="13"/>
      <c r="D55" s="385" t="str">
        <f ca="1">D25</f>
        <v>Answer</v>
      </c>
      <c r="E55" s="385"/>
      <c r="F55" s="21"/>
      <c r="G55" s="58" t="str">
        <f ca="1">G25</f>
        <v>Comments</v>
      </c>
      <c r="H55" s="344"/>
      <c r="I55" s="344"/>
      <c r="J55" s="344"/>
      <c r="K55" s="50"/>
      <c r="L55" s="148" t="s">
        <v>2435</v>
      </c>
      <c r="M55" s="149"/>
      <c r="N55" s="142"/>
      <c r="O55" s="143"/>
      <c r="P55" s="12"/>
      <c r="Q55" s="12"/>
      <c r="R55" s="12"/>
      <c r="S55" s="12"/>
      <c r="T55" s="12"/>
      <c r="U55" s="12"/>
      <c r="V55" s="12"/>
      <c r="W55" s="12"/>
      <c r="X55" s="12"/>
      <c r="Y55" s="12"/>
      <c r="Z55" s="12"/>
      <c r="AA55" s="12"/>
      <c r="AB55" s="12"/>
      <c r="AC55" s="12"/>
      <c r="AD55" s="12"/>
      <c r="AE55" s="12"/>
      <c r="AF55" s="12"/>
      <c r="AG55" s="12"/>
      <c r="AH55" s="12"/>
    </row>
    <row r="56" spans="1:34" ht="22.5">
      <c r="A56" s="55"/>
      <c r="B56" s="54" t="str">
        <f ca="1">B38</f>
        <v>Tantalum  (*)</v>
      </c>
      <c r="C56" s="13"/>
      <c r="D56" s="342" t="s">
        <v>905</v>
      </c>
      <c r="E56" s="343"/>
      <c r="F56" s="61"/>
      <c r="G56" s="339"/>
      <c r="H56" s="340"/>
      <c r="I56" s="340"/>
      <c r="J56" s="341"/>
      <c r="K56" s="50"/>
      <c r="L56" s="154"/>
      <c r="M56" s="144"/>
      <c r="N56" s="142"/>
      <c r="O56" s="143"/>
      <c r="P56" s="12"/>
      <c r="Q56" s="12"/>
      <c r="R56" s="12"/>
      <c r="S56" s="12"/>
      <c r="T56" s="12"/>
      <c r="U56" s="12"/>
      <c r="V56" s="12"/>
      <c r="W56" s="12"/>
      <c r="X56" s="12"/>
      <c r="Y56" s="12"/>
      <c r="Z56" s="12"/>
      <c r="AA56" s="12"/>
      <c r="AB56" s="12"/>
      <c r="AC56" s="12"/>
      <c r="AD56" s="12"/>
      <c r="AE56" s="12"/>
      <c r="AF56" s="12"/>
      <c r="AG56" s="12"/>
      <c r="AH56" s="12"/>
    </row>
    <row r="57" spans="1:34" ht="22.5">
      <c r="A57" s="55"/>
      <c r="B57" s="54" t="str">
        <f ca="1">B39</f>
        <v>Tin  (*)</v>
      </c>
      <c r="C57" s="13"/>
      <c r="D57" s="342" t="s">
        <v>905</v>
      </c>
      <c r="E57" s="343"/>
      <c r="F57" s="61"/>
      <c r="G57" s="339"/>
      <c r="H57" s="340"/>
      <c r="I57" s="340"/>
      <c r="J57" s="341"/>
      <c r="K57" s="50"/>
      <c r="L57" s="154"/>
      <c r="M57" s="142"/>
      <c r="N57" s="142"/>
      <c r="O57" s="143"/>
      <c r="P57" s="12"/>
      <c r="Q57" s="12"/>
      <c r="R57" s="12"/>
      <c r="S57" s="12"/>
      <c r="T57" s="12"/>
      <c r="U57" s="12"/>
      <c r="V57" s="12"/>
      <c r="W57" s="12"/>
      <c r="X57" s="12"/>
      <c r="Y57" s="12"/>
      <c r="Z57" s="12"/>
      <c r="AA57" s="12"/>
      <c r="AB57" s="12"/>
      <c r="AC57" s="12"/>
      <c r="AD57" s="12"/>
      <c r="AE57" s="12"/>
      <c r="AF57" s="12"/>
      <c r="AG57" s="12"/>
      <c r="AH57" s="12"/>
    </row>
    <row r="58" spans="1:34" ht="22.5">
      <c r="A58" s="55"/>
      <c r="B58" s="54" t="str">
        <f ca="1">B40</f>
        <v>Gold  (*)</v>
      </c>
      <c r="C58" s="13"/>
      <c r="D58" s="342" t="s">
        <v>905</v>
      </c>
      <c r="E58" s="343"/>
      <c r="F58" s="61"/>
      <c r="G58" s="339"/>
      <c r="H58" s="340"/>
      <c r="I58" s="340"/>
      <c r="J58" s="341"/>
      <c r="K58" s="50"/>
      <c r="L58" s="154"/>
      <c r="M58" s="142"/>
      <c r="N58" s="142"/>
      <c r="O58" s="143"/>
      <c r="P58" s="12"/>
      <c r="Q58" s="12"/>
      <c r="R58" s="12"/>
      <c r="S58" s="12"/>
      <c r="T58" s="12"/>
      <c r="U58" s="12"/>
      <c r="V58" s="12"/>
      <c r="W58" s="12"/>
      <c r="X58" s="12"/>
      <c r="Y58" s="12"/>
      <c r="Z58" s="12"/>
      <c r="AA58" s="12"/>
      <c r="AB58" s="12"/>
      <c r="AC58" s="12"/>
      <c r="AD58" s="12"/>
      <c r="AE58" s="12"/>
      <c r="AF58" s="12"/>
      <c r="AG58" s="12"/>
      <c r="AH58" s="12"/>
    </row>
    <row r="59" spans="1:34" ht="22.5">
      <c r="A59" s="55"/>
      <c r="B59" s="54" t="str">
        <f ca="1">B41</f>
        <v xml:space="preserve">Tungsten  </v>
      </c>
      <c r="C59" s="13"/>
      <c r="D59" s="342"/>
      <c r="E59" s="343"/>
      <c r="F59" s="61"/>
      <c r="G59" s="339"/>
      <c r="H59" s="340"/>
      <c r="I59" s="340"/>
      <c r="J59" s="341"/>
      <c r="K59" s="50"/>
      <c r="L59" s="154"/>
      <c r="M59" s="142"/>
      <c r="N59" s="142"/>
      <c r="O59" s="143"/>
      <c r="P59" s="12"/>
      <c r="Q59" s="12"/>
      <c r="R59" s="12"/>
      <c r="S59" s="12"/>
      <c r="T59" s="12"/>
      <c r="U59" s="12"/>
      <c r="V59" s="12"/>
      <c r="W59" s="12"/>
      <c r="X59" s="12"/>
      <c r="Y59" s="12"/>
      <c r="Z59" s="12"/>
      <c r="AA59" s="12"/>
      <c r="AB59" s="12"/>
      <c r="AC59" s="12"/>
      <c r="AD59" s="12"/>
      <c r="AE59" s="12"/>
      <c r="AF59" s="12"/>
      <c r="AG59" s="12"/>
      <c r="AH59" s="12"/>
    </row>
    <row r="60" spans="1:34" ht="15.75">
      <c r="A60" s="55"/>
      <c r="B60" s="27"/>
      <c r="C60" s="13"/>
      <c r="D60" s="107"/>
      <c r="E60" s="107"/>
      <c r="F60" s="104"/>
      <c r="G60" s="108"/>
      <c r="H60" s="108"/>
      <c r="I60" s="108"/>
      <c r="J60" s="108"/>
      <c r="K60" s="50"/>
      <c r="L60" s="148"/>
      <c r="M60" s="149"/>
      <c r="N60" s="142"/>
      <c r="O60" s="143"/>
      <c r="P60" s="12"/>
      <c r="Q60" s="12"/>
      <c r="R60" s="12"/>
      <c r="S60" s="12"/>
      <c r="T60" s="12"/>
      <c r="U60" s="12"/>
      <c r="V60" s="12"/>
      <c r="W60" s="12"/>
      <c r="X60" s="12"/>
      <c r="Y60" s="12"/>
      <c r="Z60" s="12"/>
      <c r="AA60" s="12"/>
      <c r="AB60" s="12"/>
      <c r="AC60" s="12"/>
      <c r="AD60" s="12"/>
      <c r="AE60" s="12"/>
      <c r="AF60" s="12"/>
      <c r="AG60" s="12"/>
      <c r="AH60" s="12"/>
    </row>
    <row r="61" spans="1:34" ht="45.75">
      <c r="A61" s="55"/>
      <c r="B61" s="58" t="str">
        <f ca="1">OFFSET(L!$C$1,MATCH("Declaration"&amp;ADDRESS(ROW(),COLUMN(),4),L!$A:$A,0)-1,SL,,)&amp;Q$37</f>
        <v>7) Has all applicable smelter information received by your company been reported in this declaration?  (*)</v>
      </c>
      <c r="C61" s="13"/>
      <c r="D61" s="385" t="str">
        <f ca="1">D25</f>
        <v>Answer</v>
      </c>
      <c r="E61" s="385"/>
      <c r="F61" s="21"/>
      <c r="G61" s="58" t="str">
        <f ca="1">G25</f>
        <v>Comments</v>
      </c>
      <c r="H61" s="344" t="str">
        <f>IF(Q69="(*)","Click here to enter smelter names","")</f>
        <v/>
      </c>
      <c r="I61" s="344"/>
      <c r="J61" s="344"/>
      <c r="K61" s="50"/>
      <c r="L61" s="148" t="s">
        <v>2435</v>
      </c>
      <c r="M61" s="149"/>
      <c r="N61" s="142"/>
      <c r="O61" s="143"/>
      <c r="P61" s="12"/>
      <c r="Q61" s="12"/>
      <c r="R61" s="12"/>
      <c r="S61" s="12"/>
      <c r="T61" s="12"/>
      <c r="U61" s="12"/>
      <c r="V61" s="12"/>
      <c r="W61" s="12"/>
      <c r="X61" s="12"/>
      <c r="Y61" s="12"/>
      <c r="Z61" s="12"/>
      <c r="AA61" s="12"/>
      <c r="AB61" s="12"/>
      <c r="AC61" s="12"/>
      <c r="AD61" s="12"/>
      <c r="AE61" s="12"/>
      <c r="AF61" s="12"/>
      <c r="AG61" s="12"/>
      <c r="AH61" s="12"/>
    </row>
    <row r="62" spans="1:34" ht="22.5">
      <c r="A62" s="55"/>
      <c r="B62" s="54" t="str">
        <f ca="1">B38</f>
        <v>Tantalum  (*)</v>
      </c>
      <c r="C62" s="49"/>
      <c r="D62" s="342" t="s">
        <v>904</v>
      </c>
      <c r="E62" s="343"/>
      <c r="F62" s="62"/>
      <c r="G62" s="339"/>
      <c r="H62" s="340"/>
      <c r="I62" s="340"/>
      <c r="J62" s="341"/>
      <c r="K62" s="50"/>
      <c r="L62" s="154"/>
      <c r="M62" s="144"/>
      <c r="N62" s="142"/>
      <c r="O62" s="143"/>
      <c r="P62" s="12"/>
      <c r="Q62" s="12"/>
      <c r="R62" s="12"/>
      <c r="S62" s="12"/>
      <c r="T62" s="12"/>
      <c r="U62" s="12"/>
      <c r="V62" s="12"/>
      <c r="W62" s="12"/>
      <c r="X62" s="12"/>
      <c r="Y62" s="12"/>
      <c r="Z62" s="12"/>
      <c r="AA62" s="12"/>
      <c r="AB62" s="12"/>
      <c r="AC62" s="12"/>
      <c r="AD62" s="12"/>
      <c r="AE62" s="12"/>
      <c r="AF62" s="12"/>
      <c r="AG62" s="12"/>
      <c r="AH62" s="12"/>
    </row>
    <row r="63" spans="1:34" ht="22.5">
      <c r="A63" s="55"/>
      <c r="B63" s="54" t="str">
        <f ca="1">B39</f>
        <v>Tin  (*)</v>
      </c>
      <c r="C63" s="49"/>
      <c r="D63" s="342" t="s">
        <v>904</v>
      </c>
      <c r="E63" s="343"/>
      <c r="F63" s="62"/>
      <c r="G63" s="339"/>
      <c r="H63" s="340"/>
      <c r="I63" s="340"/>
      <c r="J63" s="341"/>
      <c r="K63" s="50"/>
      <c r="L63" s="154"/>
      <c r="M63" s="142"/>
      <c r="N63" s="142"/>
      <c r="O63" s="143"/>
      <c r="P63" s="12"/>
      <c r="Q63" s="12"/>
      <c r="R63" s="12"/>
      <c r="S63" s="12"/>
      <c r="T63" s="12"/>
      <c r="U63" s="12"/>
      <c r="V63" s="12"/>
      <c r="W63" s="12"/>
      <c r="X63" s="12"/>
      <c r="Y63" s="12"/>
      <c r="Z63" s="12"/>
      <c r="AA63" s="12"/>
      <c r="AB63" s="12"/>
      <c r="AC63" s="12"/>
      <c r="AD63" s="12"/>
      <c r="AE63" s="12"/>
      <c r="AF63" s="12"/>
      <c r="AG63" s="12"/>
      <c r="AH63" s="12"/>
    </row>
    <row r="64" spans="1:34" ht="22.5">
      <c r="A64" s="55"/>
      <c r="B64" s="54" t="str">
        <f ca="1">B40</f>
        <v>Gold  (*)</v>
      </c>
      <c r="C64" s="49"/>
      <c r="D64" s="342" t="s">
        <v>904</v>
      </c>
      <c r="E64" s="343"/>
      <c r="F64" s="62"/>
      <c r="G64" s="339"/>
      <c r="H64" s="340"/>
      <c r="I64" s="340"/>
      <c r="J64" s="341"/>
      <c r="K64" s="50"/>
      <c r="L64" s="154"/>
      <c r="M64" s="142"/>
      <c r="N64" s="142"/>
      <c r="O64" s="143"/>
      <c r="P64" s="12"/>
      <c r="Q64" s="12"/>
      <c r="R64" s="12"/>
      <c r="S64" s="12"/>
      <c r="T64" s="12"/>
      <c r="U64" s="12"/>
      <c r="V64" s="12"/>
      <c r="W64" s="12"/>
      <c r="X64" s="12"/>
      <c r="Y64" s="12"/>
      <c r="Z64" s="12"/>
      <c r="AA64" s="12"/>
      <c r="AB64" s="12"/>
      <c r="AC64" s="12"/>
      <c r="AD64" s="12"/>
      <c r="AE64" s="12"/>
      <c r="AF64" s="12"/>
      <c r="AG64" s="12"/>
      <c r="AH64" s="12"/>
    </row>
    <row r="65" spans="1:34" ht="22.5">
      <c r="A65" s="52"/>
      <c r="B65" s="54" t="str">
        <f ca="1">B41</f>
        <v xml:space="preserve">Tungsten  </v>
      </c>
      <c r="C65" s="63"/>
      <c r="D65" s="342"/>
      <c r="E65" s="343"/>
      <c r="F65" s="64"/>
      <c r="G65" s="339"/>
      <c r="H65" s="340"/>
      <c r="I65" s="340"/>
      <c r="J65" s="341"/>
      <c r="K65" s="53"/>
      <c r="L65" s="155"/>
      <c r="M65" s="142"/>
      <c r="N65" s="142"/>
      <c r="O65" s="143"/>
      <c r="P65" s="12"/>
      <c r="Q65" s="12"/>
      <c r="R65" s="12"/>
      <c r="S65" s="12"/>
      <c r="T65" s="12"/>
      <c r="U65" s="12"/>
      <c r="V65" s="12"/>
      <c r="W65" s="12"/>
      <c r="X65" s="12"/>
      <c r="Y65" s="12"/>
      <c r="Z65" s="12"/>
      <c r="AA65" s="12"/>
      <c r="AB65" s="12"/>
      <c r="AC65" s="12"/>
      <c r="AD65" s="12"/>
      <c r="AE65" s="12"/>
      <c r="AF65" s="12"/>
      <c r="AG65" s="12"/>
      <c r="AH65" s="12"/>
    </row>
    <row r="66" spans="1:34" ht="15">
      <c r="A66" s="55"/>
      <c r="B66" s="20"/>
      <c r="C66" s="20"/>
      <c r="D66" s="20"/>
      <c r="E66" s="20"/>
      <c r="F66" s="20"/>
      <c r="G66" s="100"/>
      <c r="H66" s="100"/>
      <c r="I66" s="100"/>
      <c r="J66" s="100"/>
      <c r="K66" s="50"/>
      <c r="L66" s="151"/>
      <c r="M66" s="142"/>
      <c r="N66" s="142"/>
      <c r="O66" s="143"/>
      <c r="P66" s="12"/>
      <c r="Q66" s="12"/>
      <c r="R66" s="12"/>
      <c r="S66" s="12"/>
      <c r="T66" s="12"/>
      <c r="U66" s="12"/>
      <c r="V66" s="12"/>
      <c r="W66" s="12"/>
      <c r="X66" s="12"/>
      <c r="Y66" s="12"/>
      <c r="Z66" s="12"/>
      <c r="AA66" s="12"/>
      <c r="AB66" s="12"/>
      <c r="AC66" s="12"/>
      <c r="AD66" s="12"/>
      <c r="AE66" s="12"/>
      <c r="AF66" s="12"/>
      <c r="AG66" s="12"/>
      <c r="AH66" s="12"/>
    </row>
    <row r="67" spans="1:34" ht="15">
      <c r="A67" s="55"/>
      <c r="B67" s="356" t="str">
        <f ca="1">OFFSET(L!$C$1,MATCH("Declaration"&amp;ADDRESS(ROW(),COLUMN(),4),L!$A:$A,0)-1,SL,,)</f>
        <v>Answer the Following Questions at a Company Level</v>
      </c>
      <c r="C67" s="356"/>
      <c r="D67" s="356"/>
      <c r="E67" s="356"/>
      <c r="F67" s="356"/>
      <c r="G67" s="356"/>
      <c r="H67" s="356"/>
      <c r="I67" s="356"/>
      <c r="J67" s="356"/>
      <c r="K67" s="50"/>
      <c r="L67" s="151"/>
      <c r="M67" s="142"/>
      <c r="N67" s="142"/>
      <c r="O67" s="143"/>
      <c r="P67" s="12"/>
      <c r="Q67" s="12"/>
      <c r="R67" s="12"/>
      <c r="S67" s="12"/>
      <c r="T67" s="12"/>
      <c r="U67" s="12"/>
      <c r="V67" s="12"/>
      <c r="W67" s="12"/>
      <c r="X67" s="12"/>
      <c r="Y67" s="12"/>
      <c r="Z67" s="12"/>
      <c r="AA67" s="12"/>
      <c r="AB67" s="12"/>
      <c r="AC67" s="12"/>
      <c r="AD67" s="12"/>
      <c r="AE67" s="12"/>
      <c r="AF67" s="12"/>
      <c r="AG67" s="12"/>
      <c r="AH67" s="12"/>
    </row>
    <row r="68" spans="1:34" ht="15.75">
      <c r="A68" s="65"/>
      <c r="B68" s="66" t="str">
        <f ca="1">OFFSET(L!$C$1,MATCH("Declaration"&amp;ADDRESS(ROW(),COLUMN(),4),L!$A:$A,0)-1,SL,,)</f>
        <v>Question</v>
      </c>
      <c r="C68" s="101"/>
      <c r="D68" s="360" t="str">
        <f ca="1">D25</f>
        <v>Answer</v>
      </c>
      <c r="E68" s="360"/>
      <c r="F68" s="67"/>
      <c r="G68" s="360" t="str">
        <f ca="1">G25</f>
        <v>Comments</v>
      </c>
      <c r="H68" s="360" t="e">
        <f>HLOOKUP(SL,LT,$O68,0)</f>
        <v>#NAME?</v>
      </c>
      <c r="I68" s="360" t="e">
        <f>HLOOKUP(SL,LT,$O68,0)</f>
        <v>#NAME?</v>
      </c>
      <c r="J68" s="102"/>
      <c r="K68" s="69"/>
      <c r="L68" s="150"/>
      <c r="M68" s="149"/>
      <c r="N68" s="142"/>
      <c r="O68" s="143"/>
      <c r="P68" s="12"/>
      <c r="Q68" s="12"/>
      <c r="R68" s="12"/>
      <c r="S68" s="12"/>
      <c r="T68" s="12"/>
      <c r="U68" s="12"/>
      <c r="V68" s="12"/>
      <c r="W68" s="12"/>
      <c r="X68" s="12"/>
      <c r="Y68" s="12"/>
      <c r="Z68" s="12"/>
      <c r="AA68" s="12"/>
      <c r="AB68" s="12"/>
      <c r="AC68" s="12"/>
      <c r="AD68" s="12"/>
      <c r="AE68" s="12"/>
      <c r="AF68" s="12"/>
      <c r="AG68" s="12"/>
      <c r="AH68" s="12"/>
    </row>
    <row r="69" spans="1:34" ht="30">
      <c r="A69" s="55"/>
      <c r="B69" s="70" t="str">
        <f ca="1">OFFSET(L!$C$1,MATCH("Declaration"&amp;ADDRESS(ROW(),COLUMN(),4),L!$A:$A,0)-1,SL,,)&amp;$Q$37</f>
        <v>A. Do you have a policy in place that addresses conflict minerals sourcing? (*)</v>
      </c>
      <c r="C69" s="71"/>
      <c r="D69" s="342" t="s">
        <v>904</v>
      </c>
      <c r="E69" s="343"/>
      <c r="F69" s="71"/>
      <c r="G69" s="339"/>
      <c r="H69" s="340"/>
      <c r="I69" s="340"/>
      <c r="J69" s="341"/>
      <c r="K69" s="50"/>
      <c r="L69" s="150" t="s">
        <v>2436</v>
      </c>
      <c r="M69" s="149"/>
      <c r="N69" s="142"/>
      <c r="O69" s="143"/>
      <c r="P69" s="12"/>
      <c r="Q69" s="12"/>
      <c r="R69" s="12"/>
      <c r="S69" s="12"/>
      <c r="T69" s="12"/>
      <c r="U69" s="12"/>
      <c r="V69" s="12"/>
      <c r="W69" s="12"/>
      <c r="X69" s="12"/>
      <c r="Y69" s="12"/>
      <c r="Z69" s="12"/>
      <c r="AA69" s="12"/>
      <c r="AB69" s="12"/>
      <c r="AC69" s="12"/>
      <c r="AD69" s="12"/>
      <c r="AE69" s="12"/>
      <c r="AF69" s="12"/>
      <c r="AG69" s="12"/>
      <c r="AH69" s="12"/>
    </row>
    <row r="70" spans="1:34" ht="15.75">
      <c r="A70" s="55"/>
      <c r="B70" s="72"/>
      <c r="C70" s="15"/>
      <c r="D70" s="1"/>
      <c r="E70" s="1"/>
      <c r="F70" s="15"/>
      <c r="G70" s="345"/>
      <c r="H70" s="345"/>
      <c r="I70" s="345"/>
      <c r="J70" s="345"/>
      <c r="K70" s="50"/>
      <c r="L70" s="150"/>
      <c r="M70" s="149"/>
      <c r="N70" s="142"/>
      <c r="O70" s="143"/>
      <c r="P70" s="12"/>
      <c r="Q70" s="12"/>
      <c r="R70" s="12"/>
      <c r="S70" s="12"/>
      <c r="T70" s="12"/>
      <c r="U70" s="12"/>
      <c r="V70" s="12"/>
      <c r="W70" s="12"/>
      <c r="X70" s="12"/>
      <c r="Y70" s="12"/>
      <c r="Z70" s="12"/>
      <c r="AA70" s="12"/>
      <c r="AB70" s="12"/>
      <c r="AC70" s="12"/>
      <c r="AD70" s="12"/>
      <c r="AE70" s="12"/>
      <c r="AF70" s="12"/>
      <c r="AG70" s="12"/>
      <c r="AH70" s="12"/>
    </row>
    <row r="71" spans="1:34" ht="49.15" customHeight="1">
      <c r="A71" s="55"/>
      <c r="B71" s="70" t="str">
        <f ca="1">OFFSET(L!$C$1,MATCH("Declaration"&amp;ADDRESS(ROW(),COLUMN(),4),L!$A:$A,0)-1,SL,,)&amp;$Q$37</f>
        <v>B. Is your conflict minerals sourcing policy publicly available on your website? (Note – If yes, the user shall specify the URL in the comment field.) (*)</v>
      </c>
      <c r="C71" s="71"/>
      <c r="D71" s="342" t="s">
        <v>904</v>
      </c>
      <c r="E71" s="343"/>
      <c r="F71" s="71"/>
      <c r="G71" s="357" t="s">
        <v>4997</v>
      </c>
      <c r="H71" s="358"/>
      <c r="I71" s="358"/>
      <c r="J71" s="359"/>
      <c r="K71" s="50"/>
      <c r="L71" s="150" t="s">
        <v>2437</v>
      </c>
      <c r="M71" s="149"/>
      <c r="N71" s="142"/>
      <c r="O71" s="143"/>
      <c r="P71" s="12"/>
      <c r="Q71" s="12"/>
      <c r="R71" s="12"/>
      <c r="S71" s="12"/>
      <c r="T71" s="12"/>
      <c r="U71" s="12"/>
      <c r="V71" s="12"/>
      <c r="W71" s="12"/>
      <c r="X71" s="12"/>
      <c r="Y71" s="12"/>
      <c r="Z71" s="12"/>
      <c r="AA71" s="12"/>
      <c r="AB71" s="12"/>
      <c r="AC71" s="12"/>
      <c r="AD71" s="12"/>
      <c r="AE71" s="12"/>
      <c r="AF71" s="12"/>
      <c r="AG71" s="12"/>
      <c r="AH71" s="12"/>
    </row>
    <row r="72" spans="1:34" ht="15.75">
      <c r="A72" s="55"/>
      <c r="B72" s="72"/>
      <c r="C72" s="15"/>
      <c r="D72" s="1"/>
      <c r="E72" s="1"/>
      <c r="F72" s="15"/>
      <c r="G72" s="68"/>
      <c r="H72" s="68"/>
      <c r="I72" s="68"/>
      <c r="J72" s="68"/>
      <c r="K72" s="50"/>
      <c r="L72" s="150"/>
      <c r="M72" s="149"/>
      <c r="N72" s="142"/>
      <c r="O72" s="143"/>
      <c r="P72" s="12"/>
      <c r="Q72" s="12"/>
      <c r="R72" s="12"/>
      <c r="S72" s="12"/>
      <c r="T72" s="12"/>
      <c r="U72" s="12"/>
      <c r="V72" s="12"/>
      <c r="W72" s="12"/>
      <c r="X72" s="12"/>
      <c r="Y72" s="12"/>
      <c r="Z72" s="12"/>
      <c r="AA72" s="12"/>
      <c r="AB72" s="12"/>
      <c r="AC72" s="12"/>
      <c r="AD72" s="12"/>
      <c r="AE72" s="12"/>
      <c r="AF72" s="12"/>
      <c r="AG72" s="12"/>
      <c r="AH72" s="12"/>
    </row>
    <row r="73" spans="1:34" ht="36.75" customHeight="1">
      <c r="A73" s="55"/>
      <c r="B73" s="70" t="str">
        <f ca="1">OFFSET(L!$C$1,MATCH("Declaration"&amp;ADDRESS(ROW(),COLUMN(),4),L!$A:$A,0)-1,SL,,)&amp;$Q$37</f>
        <v>C. Do you require your direct suppliers to be DRC conflict-free? (*)</v>
      </c>
      <c r="C73" s="71"/>
      <c r="D73" s="342" t="s">
        <v>904</v>
      </c>
      <c r="E73" s="343"/>
      <c r="F73" s="71"/>
      <c r="G73" s="339"/>
      <c r="H73" s="340"/>
      <c r="I73" s="340"/>
      <c r="J73" s="341"/>
      <c r="K73" s="50"/>
      <c r="L73" s="150" t="s">
        <v>2437</v>
      </c>
      <c r="M73" s="149"/>
      <c r="N73" s="142"/>
      <c r="O73" s="143"/>
      <c r="P73" s="12"/>
      <c r="Q73" s="12"/>
      <c r="R73" s="12"/>
      <c r="S73" s="12"/>
      <c r="T73" s="12"/>
      <c r="U73" s="12"/>
      <c r="V73" s="12"/>
      <c r="W73" s="12"/>
      <c r="X73" s="12"/>
      <c r="Y73" s="12"/>
      <c r="Z73" s="12"/>
      <c r="AA73" s="12"/>
      <c r="AB73" s="12"/>
      <c r="AC73" s="12"/>
      <c r="AD73" s="12"/>
      <c r="AE73" s="12"/>
      <c r="AF73" s="12"/>
      <c r="AG73" s="12"/>
      <c r="AH73" s="12"/>
    </row>
    <row r="74" spans="1:34" ht="15.75">
      <c r="A74" s="55"/>
      <c r="B74" s="72"/>
      <c r="C74" s="15"/>
      <c r="D74" s="1"/>
      <c r="E74" s="1"/>
      <c r="F74" s="15"/>
      <c r="G74" s="68"/>
      <c r="H74" s="68"/>
      <c r="I74" s="68"/>
      <c r="J74" s="68"/>
      <c r="K74" s="50"/>
      <c r="L74" s="150"/>
      <c r="M74" s="149"/>
      <c r="N74" s="142"/>
      <c r="O74" s="143"/>
      <c r="P74" s="12"/>
      <c r="Q74" s="12"/>
      <c r="R74" s="12"/>
      <c r="S74" s="12"/>
      <c r="T74" s="12"/>
      <c r="U74" s="12"/>
      <c r="V74" s="12"/>
      <c r="W74" s="12"/>
      <c r="X74" s="12"/>
      <c r="Y74" s="12"/>
      <c r="Z74" s="12"/>
      <c r="AA74" s="12"/>
      <c r="AB74" s="12"/>
      <c r="AC74" s="12"/>
      <c r="AD74" s="12"/>
      <c r="AE74" s="12"/>
      <c r="AF74" s="12"/>
      <c r="AG74" s="12"/>
      <c r="AH74" s="12"/>
    </row>
    <row r="75" spans="1:34" ht="48" customHeight="1">
      <c r="A75" s="55"/>
      <c r="B75" s="70" t="str">
        <f ca="1">OFFSET(L!$C$1,MATCH("Declaration"&amp;ADDRESS(ROW(),COLUMN(),4),L!$A:$A,0)-1,SL,,)&amp;$Q$37</f>
        <v>D. Do you require your direct suppliers to source the 3TG from smelters whose due diligence practices have been validated by an independent third party audit program? (*)</v>
      </c>
      <c r="C75" s="71"/>
      <c r="D75" s="342" t="s">
        <v>905</v>
      </c>
      <c r="E75" s="343"/>
      <c r="F75" s="71"/>
      <c r="G75" s="339"/>
      <c r="H75" s="340"/>
      <c r="I75" s="340"/>
      <c r="J75" s="341"/>
      <c r="K75" s="50"/>
      <c r="L75" s="150" t="s">
        <v>2516</v>
      </c>
      <c r="M75" s="149"/>
      <c r="N75" s="142"/>
      <c r="O75" s="143"/>
      <c r="P75" s="12"/>
      <c r="Q75" s="12"/>
      <c r="R75" s="12"/>
      <c r="S75" s="12"/>
      <c r="T75" s="12"/>
      <c r="U75" s="12"/>
      <c r="V75" s="12"/>
      <c r="W75" s="12"/>
      <c r="X75" s="12"/>
      <c r="Y75" s="12"/>
      <c r="Z75" s="12"/>
      <c r="AA75" s="12"/>
      <c r="AB75" s="12"/>
      <c r="AC75" s="12"/>
      <c r="AD75" s="12"/>
      <c r="AE75" s="12"/>
      <c r="AF75" s="12"/>
      <c r="AG75" s="12"/>
      <c r="AH75" s="12"/>
    </row>
    <row r="76" spans="1:34" ht="15.75">
      <c r="A76" s="55"/>
      <c r="B76" s="73"/>
      <c r="C76" s="15"/>
      <c r="D76" s="74"/>
      <c r="E76" s="74"/>
      <c r="F76" s="15"/>
      <c r="G76" s="68"/>
      <c r="H76" s="68"/>
      <c r="I76" s="68"/>
      <c r="J76" s="68"/>
      <c r="K76" s="50"/>
      <c r="L76" s="150"/>
      <c r="M76" s="149"/>
      <c r="N76" s="142"/>
      <c r="O76" s="143"/>
      <c r="P76" s="12"/>
      <c r="Q76" s="12"/>
      <c r="R76" s="12"/>
      <c r="S76" s="12"/>
      <c r="T76" s="12"/>
      <c r="U76" s="12"/>
      <c r="V76" s="12"/>
      <c r="W76" s="12"/>
      <c r="X76" s="12"/>
      <c r="Y76" s="12"/>
      <c r="Z76" s="12"/>
      <c r="AA76" s="12"/>
      <c r="AB76" s="12"/>
      <c r="AC76" s="12"/>
      <c r="AD76" s="12"/>
      <c r="AE76" s="12"/>
      <c r="AF76" s="12"/>
      <c r="AG76" s="12"/>
      <c r="AH76" s="12"/>
    </row>
    <row r="77" spans="1:34" ht="35.25" customHeight="1">
      <c r="A77" s="55"/>
      <c r="B77" s="70" t="str">
        <f ca="1">OFFSET(L!$C$1,MATCH("Declaration"&amp;ADDRESS(ROW(),COLUMN(),4),L!$A:$A,0)-1,SL,,)&amp;$Q$37</f>
        <v>E. Have you implemented due diligence measures for conflict-free sourcing? (*)</v>
      </c>
      <c r="C77" s="71"/>
      <c r="D77" s="342" t="s">
        <v>904</v>
      </c>
      <c r="E77" s="343"/>
      <c r="F77" s="71"/>
      <c r="G77" s="339"/>
      <c r="H77" s="340"/>
      <c r="I77" s="340"/>
      <c r="J77" s="341"/>
      <c r="K77" s="50"/>
      <c r="L77" s="150" t="s">
        <v>2437</v>
      </c>
      <c r="M77" s="149"/>
      <c r="N77" s="142"/>
      <c r="O77" s="143"/>
      <c r="P77" s="12"/>
      <c r="Q77" s="12"/>
      <c r="R77" s="12"/>
      <c r="S77" s="12"/>
      <c r="T77" s="12"/>
      <c r="U77" s="12"/>
      <c r="V77" s="12"/>
      <c r="W77" s="12"/>
      <c r="X77" s="12"/>
      <c r="Y77" s="12"/>
      <c r="Z77" s="12"/>
      <c r="AA77" s="12"/>
      <c r="AB77" s="12"/>
      <c r="AC77" s="12"/>
      <c r="AD77" s="12"/>
      <c r="AE77" s="12"/>
      <c r="AF77" s="12"/>
      <c r="AG77" s="12"/>
      <c r="AH77" s="12"/>
    </row>
    <row r="78" spans="1:34" ht="15.75">
      <c r="A78" s="55"/>
      <c r="B78" s="72"/>
      <c r="C78" s="15"/>
      <c r="D78" s="1"/>
      <c r="E78" s="1"/>
      <c r="F78" s="15"/>
      <c r="G78" s="68"/>
      <c r="H78" s="68"/>
      <c r="I78" s="68"/>
      <c r="J78" s="68"/>
      <c r="K78" s="50"/>
      <c r="L78" s="150"/>
      <c r="M78" s="149"/>
      <c r="N78" s="142"/>
      <c r="O78" s="143"/>
      <c r="P78" s="12"/>
      <c r="Q78" s="12"/>
      <c r="R78" s="12"/>
      <c r="S78" s="12"/>
      <c r="T78" s="12"/>
      <c r="U78" s="12"/>
      <c r="V78" s="12"/>
      <c r="W78" s="12"/>
      <c r="X78" s="12"/>
      <c r="Y78" s="12"/>
      <c r="Z78" s="12"/>
      <c r="AA78" s="12"/>
      <c r="AB78" s="12"/>
      <c r="AC78" s="12"/>
      <c r="AD78" s="12"/>
      <c r="AE78" s="12"/>
      <c r="AF78" s="12"/>
      <c r="AG78" s="12"/>
      <c r="AH78" s="12"/>
    </row>
    <row r="79" spans="1:34" ht="49.5" customHeight="1">
      <c r="A79" s="55"/>
      <c r="B79" s="70" t="str">
        <f ca="1">OFFSET(L!$C$1,MATCH("Declaration"&amp;ADDRESS(ROW(),COLUMN(),4),L!$A:$A,0)-1,SL,,)&amp;$Q$37</f>
        <v>F. Do you collect conflict minerals due diligence information from your suppliers which is in conformance with the IPC-1755 Conflict Minerals Data Exchange standard [e.g., the CFSI Conflict Minerals Reporting Template]? (*)</v>
      </c>
      <c r="C79" s="71"/>
      <c r="D79" s="342" t="s">
        <v>904</v>
      </c>
      <c r="E79" s="343"/>
      <c r="F79" s="71"/>
      <c r="G79" s="339"/>
      <c r="H79" s="340"/>
      <c r="I79" s="340"/>
      <c r="J79" s="341"/>
      <c r="K79" s="50"/>
      <c r="L79" s="150" t="s">
        <v>2437</v>
      </c>
      <c r="M79" s="149"/>
      <c r="N79" s="142"/>
      <c r="O79" s="143"/>
      <c r="P79" s="12"/>
      <c r="Q79" s="12"/>
      <c r="R79" s="12"/>
      <c r="S79" s="12"/>
      <c r="T79" s="12"/>
      <c r="U79" s="12"/>
      <c r="V79" s="12"/>
      <c r="W79" s="12"/>
      <c r="X79" s="12"/>
      <c r="Y79" s="12"/>
      <c r="Z79" s="12"/>
      <c r="AA79" s="12"/>
      <c r="AB79" s="12"/>
      <c r="AC79" s="12"/>
      <c r="AD79" s="12"/>
      <c r="AE79" s="12"/>
      <c r="AF79" s="12"/>
      <c r="AG79" s="12"/>
      <c r="AH79" s="12"/>
    </row>
    <row r="80" spans="1:34" ht="15.75">
      <c r="A80" s="55"/>
      <c r="B80" s="75"/>
      <c r="C80" s="15"/>
      <c r="D80" s="1"/>
      <c r="E80" s="1"/>
      <c r="F80" s="16"/>
      <c r="G80" s="345"/>
      <c r="H80" s="345"/>
      <c r="I80" s="345"/>
      <c r="J80" s="345"/>
      <c r="K80" s="50"/>
      <c r="L80" s="150"/>
      <c r="M80" s="149"/>
      <c r="N80" s="142"/>
      <c r="O80" s="143"/>
      <c r="P80" s="12"/>
      <c r="Q80" s="12"/>
      <c r="R80" s="12"/>
      <c r="S80" s="12"/>
      <c r="T80" s="12"/>
      <c r="U80" s="12"/>
      <c r="V80" s="12"/>
      <c r="W80" s="12"/>
      <c r="X80" s="12"/>
      <c r="Y80" s="12"/>
      <c r="Z80" s="12"/>
      <c r="AA80" s="12"/>
      <c r="AB80" s="12"/>
      <c r="AC80" s="12"/>
      <c r="AD80" s="12"/>
      <c r="AE80" s="12"/>
      <c r="AF80" s="12"/>
      <c r="AG80" s="12"/>
      <c r="AH80" s="12"/>
    </row>
    <row r="81" spans="1:34" ht="30">
      <c r="A81" s="55"/>
      <c r="B81" s="70" t="str">
        <f ca="1">OFFSET(L!$C$1,MATCH("Declaration"&amp;ADDRESS(ROW(),COLUMN(),4),L!$A:$A,0)-1,SL,,)&amp;$Q$37</f>
        <v>G. Do you request smelter names from your suppliers? (*)</v>
      </c>
      <c r="C81" s="71"/>
      <c r="D81" s="342" t="s">
        <v>904</v>
      </c>
      <c r="E81" s="343"/>
      <c r="F81" s="71"/>
      <c r="G81" s="339"/>
      <c r="H81" s="340"/>
      <c r="I81" s="340"/>
      <c r="J81" s="341"/>
      <c r="K81" s="50"/>
      <c r="L81" s="150" t="s">
        <v>2437</v>
      </c>
      <c r="M81" s="149"/>
      <c r="N81" s="142"/>
      <c r="O81" s="143"/>
      <c r="P81" s="12"/>
      <c r="Q81" s="12"/>
      <c r="R81" s="12"/>
      <c r="S81" s="12"/>
      <c r="T81" s="12"/>
      <c r="U81" s="12"/>
      <c r="V81" s="12"/>
      <c r="W81" s="12"/>
      <c r="X81" s="12"/>
      <c r="Y81" s="12"/>
      <c r="Z81" s="12"/>
      <c r="AA81" s="12"/>
      <c r="AB81" s="12"/>
      <c r="AC81" s="12"/>
      <c r="AD81" s="12"/>
      <c r="AE81" s="12"/>
      <c r="AF81" s="12"/>
      <c r="AG81" s="12"/>
      <c r="AH81" s="12"/>
    </row>
    <row r="82" spans="1:34" ht="15.75">
      <c r="A82" s="55"/>
      <c r="B82" s="75"/>
      <c r="C82" s="15"/>
      <c r="D82" s="1"/>
      <c r="E82" s="1"/>
      <c r="F82" s="16"/>
      <c r="G82" s="345"/>
      <c r="H82" s="345"/>
      <c r="I82" s="345"/>
      <c r="J82" s="345"/>
      <c r="K82" s="50"/>
      <c r="L82" s="150"/>
      <c r="M82" s="149"/>
      <c r="N82" s="142"/>
      <c r="O82" s="143"/>
      <c r="P82" s="12"/>
      <c r="Q82" s="12"/>
      <c r="R82" s="12"/>
      <c r="S82" s="12"/>
      <c r="T82" s="12"/>
      <c r="U82" s="12"/>
      <c r="V82" s="12"/>
      <c r="W82" s="12"/>
      <c r="X82" s="12"/>
      <c r="Y82" s="12"/>
      <c r="Z82" s="12"/>
      <c r="AA82" s="12"/>
      <c r="AB82" s="12"/>
      <c r="AC82" s="12"/>
      <c r="AD82" s="12"/>
      <c r="AE82" s="12"/>
      <c r="AF82" s="12"/>
      <c r="AG82" s="12"/>
      <c r="AH82" s="12"/>
    </row>
    <row r="83" spans="1:34" ht="37.15" customHeight="1">
      <c r="A83" s="55"/>
      <c r="B83" s="70" t="str">
        <f ca="1">OFFSET(L!$C$1,MATCH("Declaration"&amp;ADDRESS(ROW(),COLUMN(),4),L!$A:$A,0)-1,SL,,)&amp;$Q$37</f>
        <v>H. Do you review due diligence information received from your suppliers against your company’s expectations? (*)</v>
      </c>
      <c r="C83" s="71"/>
      <c r="D83" s="342" t="s">
        <v>904</v>
      </c>
      <c r="E83" s="343"/>
      <c r="F83" s="71"/>
      <c r="G83" s="339"/>
      <c r="H83" s="340"/>
      <c r="I83" s="340"/>
      <c r="J83" s="341"/>
      <c r="K83" s="50"/>
      <c r="L83" s="150" t="s">
        <v>2435</v>
      </c>
      <c r="M83" s="149"/>
      <c r="N83" s="142"/>
      <c r="O83" s="143"/>
      <c r="P83" s="12"/>
      <c r="Q83" s="12"/>
      <c r="R83" s="12"/>
      <c r="S83" s="12"/>
      <c r="T83" s="12"/>
      <c r="U83" s="12"/>
      <c r="V83" s="12"/>
      <c r="W83" s="12"/>
      <c r="X83" s="12"/>
      <c r="Y83" s="12"/>
      <c r="Z83" s="12"/>
      <c r="AA83" s="12"/>
      <c r="AB83" s="12"/>
      <c r="AC83" s="12"/>
      <c r="AD83" s="12"/>
      <c r="AE83" s="12"/>
      <c r="AF83" s="12"/>
      <c r="AG83" s="12"/>
      <c r="AH83" s="12"/>
    </row>
    <row r="84" spans="1:34" ht="15.75">
      <c r="A84" s="55"/>
      <c r="B84" s="72"/>
      <c r="C84" s="15"/>
      <c r="D84" s="1"/>
      <c r="E84" s="1"/>
      <c r="F84" s="16"/>
      <c r="G84" s="346"/>
      <c r="H84" s="346"/>
      <c r="I84" s="346"/>
      <c r="J84" s="346"/>
      <c r="K84" s="50"/>
      <c r="L84" s="150"/>
      <c r="M84" s="149"/>
      <c r="N84" s="142"/>
      <c r="O84" s="143"/>
      <c r="P84" s="12"/>
      <c r="Q84" s="12"/>
      <c r="R84" s="12"/>
      <c r="S84" s="12"/>
      <c r="T84" s="12"/>
      <c r="U84" s="12"/>
      <c r="V84" s="12"/>
      <c r="W84" s="12"/>
      <c r="X84" s="12"/>
      <c r="Y84" s="12"/>
      <c r="Z84" s="12"/>
      <c r="AA84" s="12"/>
      <c r="AB84" s="12"/>
      <c r="AC84" s="12"/>
      <c r="AD84" s="12"/>
      <c r="AE84" s="12"/>
      <c r="AF84" s="12"/>
      <c r="AG84" s="12"/>
      <c r="AH84" s="12"/>
    </row>
    <row r="85" spans="1:34" ht="30">
      <c r="A85" s="55"/>
      <c r="B85" s="70" t="str">
        <f ca="1">OFFSET(L!$C$1,MATCH("Declaration"&amp;ADDRESS(ROW(),COLUMN(),4),L!$A:$A,0)-1,SL,,)&amp;$Q$37</f>
        <v>I. Does your review process include corrective action management? (*)</v>
      </c>
      <c r="C85" s="71"/>
      <c r="D85" s="342" t="s">
        <v>904</v>
      </c>
      <c r="E85" s="343"/>
      <c r="F85" s="71"/>
      <c r="G85" s="339"/>
      <c r="H85" s="340"/>
      <c r="I85" s="340"/>
      <c r="J85" s="341"/>
      <c r="K85" s="50"/>
      <c r="L85" s="150" t="s">
        <v>2437</v>
      </c>
      <c r="M85" s="149"/>
      <c r="N85" s="142"/>
      <c r="O85" s="143"/>
      <c r="P85" s="12"/>
      <c r="Q85" s="12"/>
      <c r="R85" s="12"/>
      <c r="S85" s="12"/>
      <c r="T85" s="12"/>
      <c r="U85" s="12"/>
      <c r="V85" s="12"/>
      <c r="W85" s="12"/>
      <c r="X85" s="12"/>
      <c r="Y85" s="12"/>
      <c r="Z85" s="12"/>
      <c r="AA85" s="12"/>
      <c r="AB85" s="12"/>
      <c r="AC85" s="12"/>
      <c r="AD85" s="12"/>
      <c r="AE85" s="12"/>
      <c r="AF85" s="12"/>
      <c r="AG85" s="12"/>
      <c r="AH85" s="12"/>
    </row>
    <row r="86" spans="1:34" ht="15">
      <c r="A86" s="55"/>
      <c r="B86" s="76"/>
      <c r="C86" s="13"/>
      <c r="D86" s="77"/>
      <c r="E86" s="77"/>
      <c r="F86" s="13"/>
      <c r="G86" s="78"/>
      <c r="H86" s="78"/>
      <c r="I86" s="78"/>
      <c r="J86" s="78"/>
      <c r="K86" s="50"/>
      <c r="L86" s="150"/>
      <c r="M86" s="149"/>
      <c r="N86" s="142"/>
      <c r="O86" s="143"/>
      <c r="P86" s="12"/>
      <c r="Q86" s="12"/>
      <c r="R86" s="12"/>
      <c r="S86" s="12"/>
      <c r="T86" s="12"/>
      <c r="U86" s="12"/>
      <c r="V86" s="12"/>
      <c r="W86" s="12"/>
      <c r="X86" s="12"/>
      <c r="Y86" s="12"/>
      <c r="Z86" s="12"/>
      <c r="AA86" s="12"/>
      <c r="AB86" s="12"/>
      <c r="AC86" s="12"/>
      <c r="AD86" s="12"/>
      <c r="AE86" s="12"/>
      <c r="AF86" s="12"/>
      <c r="AG86" s="12"/>
      <c r="AH86" s="12"/>
    </row>
    <row r="87" spans="1:34" ht="30">
      <c r="A87" s="55"/>
      <c r="B87" s="70" t="str">
        <f ca="1">OFFSET(L!$C$1,MATCH("Declaration"&amp;ADDRESS(ROW(),COLUMN(),4),L!$A:$A,0)-1,SL,,)&amp;$Q$37</f>
        <v>J. Are you subject to the SEC Conflict Minerals rule? (*)</v>
      </c>
      <c r="C87" s="71"/>
      <c r="D87" s="342" t="s">
        <v>905</v>
      </c>
      <c r="E87" s="343"/>
      <c r="F87" s="71"/>
      <c r="G87" s="339"/>
      <c r="H87" s="340"/>
      <c r="I87" s="340"/>
      <c r="J87" s="341"/>
      <c r="K87" s="50"/>
      <c r="L87" s="151" t="s">
        <v>2437</v>
      </c>
      <c r="M87" s="142"/>
      <c r="N87" s="142"/>
      <c r="O87" s="143"/>
      <c r="P87" s="12"/>
      <c r="Q87" s="12"/>
      <c r="R87" s="12"/>
      <c r="S87" s="12"/>
      <c r="T87" s="12"/>
      <c r="U87" s="12"/>
      <c r="V87" s="12"/>
      <c r="W87" s="12"/>
      <c r="X87" s="12"/>
      <c r="Y87" s="12"/>
      <c r="Z87" s="12"/>
      <c r="AA87" s="12"/>
      <c r="AB87" s="12"/>
      <c r="AC87" s="12"/>
      <c r="AD87" s="12"/>
      <c r="AE87" s="12"/>
      <c r="AF87" s="12"/>
      <c r="AG87" s="12"/>
      <c r="AH87" s="12"/>
    </row>
    <row r="88" spans="1:34" ht="15">
      <c r="A88" s="55"/>
      <c r="B88" s="347" t="str">
        <f ca="1">IF(OR($D$8="",$I$3=""),"","Click here to check required fields completion")</f>
        <v/>
      </c>
      <c r="C88" s="347"/>
      <c r="D88" s="347"/>
      <c r="E88" s="347"/>
      <c r="F88" s="347"/>
      <c r="G88" s="347"/>
      <c r="H88" s="347"/>
      <c r="I88" s="347"/>
      <c r="J88" s="347"/>
      <c r="K88" s="50"/>
      <c r="L88" s="151"/>
      <c r="M88" s="142"/>
      <c r="N88" s="142"/>
      <c r="O88" s="143"/>
      <c r="P88" s="12"/>
      <c r="Q88" s="12"/>
      <c r="R88" s="12"/>
      <c r="S88" s="12"/>
      <c r="T88" s="12"/>
      <c r="U88" s="12"/>
      <c r="V88" s="12"/>
      <c r="W88" s="12"/>
      <c r="X88" s="12"/>
      <c r="Y88" s="12"/>
      <c r="Z88" s="12"/>
      <c r="AA88" s="12"/>
      <c r="AB88" s="12"/>
      <c r="AC88" s="12"/>
      <c r="AD88" s="12"/>
      <c r="AE88" s="12"/>
      <c r="AF88" s="12"/>
      <c r="AG88" s="12"/>
      <c r="AH88" s="12"/>
    </row>
    <row r="89" spans="1:34" ht="15.75" thickBot="1">
      <c r="A89" s="337" t="str">
        <f ca="1">OFFSET(L!$C$1,MATCH("General"&amp;"Cpy",L!$A:$A,0)-1,SL,,)</f>
        <v>© 2016 Conflict-Free Sourcing Initiative. All rights reserved.</v>
      </c>
      <c r="B89" s="338"/>
      <c r="C89" s="338"/>
      <c r="D89" s="338"/>
      <c r="E89" s="338"/>
      <c r="F89" s="338"/>
      <c r="G89" s="338"/>
      <c r="H89" s="338"/>
      <c r="I89" s="338"/>
      <c r="J89" s="338"/>
      <c r="K89" s="79"/>
      <c r="L89" s="151"/>
      <c r="M89" s="142"/>
      <c r="N89" s="142"/>
      <c r="O89" s="143"/>
      <c r="P89" s="12"/>
      <c r="Q89" s="12"/>
      <c r="R89" s="12"/>
      <c r="S89" s="12"/>
      <c r="T89" s="12"/>
      <c r="U89" s="12"/>
      <c r="V89" s="12"/>
      <c r="W89" s="12"/>
      <c r="X89" s="12"/>
      <c r="Y89" s="12"/>
      <c r="Z89" s="12"/>
      <c r="AA89" s="12"/>
      <c r="AB89" s="12"/>
      <c r="AC89" s="12"/>
      <c r="AD89" s="12"/>
      <c r="AE89" s="12"/>
      <c r="AF89" s="12"/>
      <c r="AG89" s="12"/>
      <c r="AH89" s="12"/>
    </row>
    <row r="90" spans="1:34" ht="15.75" thickTop="1">
      <c r="A90" s="142"/>
      <c r="B90" s="125"/>
      <c r="L90" s="141"/>
      <c r="M90" s="142"/>
      <c r="N90" s="142"/>
      <c r="O90" s="143"/>
      <c r="P90" s="12"/>
      <c r="Q90" s="12"/>
      <c r="R90" s="12"/>
      <c r="S90" s="12"/>
      <c r="T90" s="12"/>
      <c r="U90" s="12"/>
      <c r="V90" s="12"/>
      <c r="W90" s="12"/>
      <c r="X90" s="12"/>
      <c r="Y90" s="12"/>
      <c r="Z90" s="12"/>
      <c r="AA90" s="12"/>
      <c r="AB90" s="12"/>
      <c r="AC90" s="12"/>
      <c r="AD90" s="12"/>
      <c r="AE90" s="12"/>
      <c r="AF90" s="12"/>
      <c r="AG90" s="12"/>
      <c r="AH90" s="12"/>
    </row>
    <row r="91" spans="1:34">
      <c r="A91" s="125"/>
      <c r="B91" s="125"/>
    </row>
    <row r="93" spans="1:34" hidden="1"/>
    <row r="94" spans="1:34" hidden="1">
      <c r="D94" s="158" t="s">
        <v>904</v>
      </c>
    </row>
    <row r="95" spans="1:34" hidden="1">
      <c r="D95" s="158" t="s">
        <v>905</v>
      </c>
    </row>
    <row r="96" spans="1:34" hidden="1">
      <c r="D96" s="158" t="s">
        <v>906</v>
      </c>
    </row>
    <row r="97" spans="4:4" hidden="1">
      <c r="D97" s="158" t="s">
        <v>907</v>
      </c>
    </row>
    <row r="98" spans="4:4" hidden="1">
      <c r="D98" s="158" t="s">
        <v>908</v>
      </c>
    </row>
    <row r="99" spans="4:4" hidden="1">
      <c r="D99" s="158" t="s">
        <v>909</v>
      </c>
    </row>
    <row r="100" spans="4:4" hidden="1">
      <c r="D100" s="158" t="s">
        <v>910</v>
      </c>
    </row>
    <row r="101" spans="4:4" hidden="1">
      <c r="D101" s="158" t="s">
        <v>912</v>
      </c>
    </row>
    <row r="102" spans="4:4" hidden="1">
      <c r="D102" s="158" t="s">
        <v>911</v>
      </c>
    </row>
    <row r="103" spans="4:4" hidden="1"/>
  </sheetData>
  <sheetProtection password="E985"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20">
    <mergeCell ref="D49:E49"/>
    <mergeCell ref="D55:E55"/>
    <mergeCell ref="D32:E32"/>
    <mergeCell ref="D46:E46"/>
    <mergeCell ref="D35:E35"/>
    <mergeCell ref="D39:E39"/>
    <mergeCell ref="D45:E45"/>
    <mergeCell ref="G45:J45"/>
    <mergeCell ref="G40:J40"/>
    <mergeCell ref="D44:E44"/>
    <mergeCell ref="G33:J33"/>
    <mergeCell ref="D43:E43"/>
    <mergeCell ref="D26:E26"/>
    <mergeCell ref="D27:E27"/>
    <mergeCell ref="D22:E22"/>
    <mergeCell ref="B24:J24"/>
    <mergeCell ref="G38:J38"/>
    <mergeCell ref="D38:E38"/>
    <mergeCell ref="D34:E34"/>
    <mergeCell ref="D33:E33"/>
    <mergeCell ref="G34:J34"/>
    <mergeCell ref="D31:E31"/>
    <mergeCell ref="D25:E25"/>
    <mergeCell ref="D37:E37"/>
    <mergeCell ref="D57:E57"/>
    <mergeCell ref="G57:J57"/>
    <mergeCell ref="G58:J58"/>
    <mergeCell ref="D56:E56"/>
    <mergeCell ref="D61:E61"/>
    <mergeCell ref="G39:J39"/>
    <mergeCell ref="G32:J32"/>
    <mergeCell ref="G29:J29"/>
    <mergeCell ref="D28:E28"/>
    <mergeCell ref="G35:J35"/>
    <mergeCell ref="G47:J47"/>
    <mergeCell ref="D53:E53"/>
    <mergeCell ref="D50:E50"/>
    <mergeCell ref="G50:J50"/>
    <mergeCell ref="D51:E51"/>
    <mergeCell ref="D47:E47"/>
    <mergeCell ref="G51:J51"/>
    <mergeCell ref="G52:J52"/>
    <mergeCell ref="G53:J53"/>
    <mergeCell ref="G46:J46"/>
    <mergeCell ref="G41:J41"/>
    <mergeCell ref="D40:E40"/>
    <mergeCell ref="D41:E41"/>
    <mergeCell ref="G44:J44"/>
    <mergeCell ref="D9:G9"/>
    <mergeCell ref="B7:J7"/>
    <mergeCell ref="D29:E29"/>
    <mergeCell ref="G26:J26"/>
    <mergeCell ref="G28:J28"/>
    <mergeCell ref="B10:B11"/>
    <mergeCell ref="A1:K1"/>
    <mergeCell ref="D2:J2"/>
    <mergeCell ref="D8:J8"/>
    <mergeCell ref="D18:J18"/>
    <mergeCell ref="B4:H4"/>
    <mergeCell ref="D10:J10"/>
    <mergeCell ref="D14:J14"/>
    <mergeCell ref="D13:J13"/>
    <mergeCell ref="F3:H3"/>
    <mergeCell ref="I4:J4"/>
    <mergeCell ref="D11:J11"/>
    <mergeCell ref="B6:J6"/>
    <mergeCell ref="D15:J15"/>
    <mergeCell ref="D17:J17"/>
    <mergeCell ref="D16:J16"/>
    <mergeCell ref="D20:J20"/>
    <mergeCell ref="G27:J27"/>
    <mergeCell ref="D21:J21"/>
    <mergeCell ref="D85:E85"/>
    <mergeCell ref="G82:J82"/>
    <mergeCell ref="G81:J81"/>
    <mergeCell ref="G83:J83"/>
    <mergeCell ref="D81:E81"/>
    <mergeCell ref="G62:J62"/>
    <mergeCell ref="G75:J75"/>
    <mergeCell ref="H37:J37"/>
    <mergeCell ref="D12:J12"/>
    <mergeCell ref="D19:J19"/>
    <mergeCell ref="D23:E23"/>
    <mergeCell ref="G65:J65"/>
    <mergeCell ref="G63:J63"/>
    <mergeCell ref="B67:J67"/>
    <mergeCell ref="D63:E63"/>
    <mergeCell ref="D62:E62"/>
    <mergeCell ref="G71:J71"/>
    <mergeCell ref="D71:E71"/>
    <mergeCell ref="G68:I68"/>
    <mergeCell ref="D68:E68"/>
    <mergeCell ref="H61:J61"/>
    <mergeCell ref="G56:J56"/>
    <mergeCell ref="D59:E59"/>
    <mergeCell ref="D58:E58"/>
    <mergeCell ref="A89:J89"/>
    <mergeCell ref="G79:J79"/>
    <mergeCell ref="D52:E52"/>
    <mergeCell ref="G59:J59"/>
    <mergeCell ref="H55:J55"/>
    <mergeCell ref="G64:J64"/>
    <mergeCell ref="D65:E65"/>
    <mergeCell ref="G69:J69"/>
    <mergeCell ref="D64:E64"/>
    <mergeCell ref="D69:E69"/>
    <mergeCell ref="D87:E87"/>
    <mergeCell ref="G70:J70"/>
    <mergeCell ref="G84:J84"/>
    <mergeCell ref="D77:E77"/>
    <mergeCell ref="G85:J85"/>
    <mergeCell ref="D73:E73"/>
    <mergeCell ref="G80:J80"/>
    <mergeCell ref="G77:J77"/>
    <mergeCell ref="G73:J73"/>
    <mergeCell ref="B88:J88"/>
    <mergeCell ref="G87:J87"/>
    <mergeCell ref="D75:E75"/>
    <mergeCell ref="D83:E83"/>
    <mergeCell ref="D79:E79"/>
  </mergeCells>
  <phoneticPr fontId="6" type="noConversion"/>
  <conditionalFormatting sqref="D69:E69 D71:E71 D73:E73 D75:E75 D87:E87 D79:E79 D81:E81 D83:E83 D85:E85 D77">
    <cfRule type="expression" dxfId="63" priority="30" stopIfTrue="1">
      <formula>AND($D$26="No",$D$27="No",$D$28="No",$D$29="No")</formula>
    </cfRule>
    <cfRule type="expression" dxfId="62" priority="31" stopIfTrue="1">
      <formula>IF(D69="",TRUE)</formula>
    </cfRule>
  </conditionalFormatting>
  <conditionalFormatting sqref="G71:J71">
    <cfRule type="expression" dxfId="61" priority="2" stopIfTrue="1">
      <formula>IF(AND($D$71="Yes",$G$71=""),TRUE)</formula>
    </cfRule>
  </conditionalFormatting>
  <conditionalFormatting sqref="D26:E26">
    <cfRule type="expression" dxfId="60" priority="82" stopIfTrue="1">
      <formula>IF($D$26="",TRUE)</formula>
    </cfRule>
  </conditionalFormatting>
  <conditionalFormatting sqref="D38:E38 D44:E44 D50:E50 D56:E56 D62:E62">
    <cfRule type="expression" dxfId="59" priority="87" stopIfTrue="1">
      <formula>$P$38=""</formula>
    </cfRule>
    <cfRule type="expression" dxfId="58" priority="88" stopIfTrue="1">
      <formula>D38=""</formula>
    </cfRule>
  </conditionalFormatting>
  <conditionalFormatting sqref="D27:E27">
    <cfRule type="expression" dxfId="57" priority="89" stopIfTrue="1">
      <formula>IF($D$27="",TRUE)</formula>
    </cfRule>
  </conditionalFormatting>
  <conditionalFormatting sqref="D28:E28">
    <cfRule type="expression" dxfId="56" priority="90" stopIfTrue="1">
      <formula>IF($D$28="",TRUE)</formula>
    </cfRule>
  </conditionalFormatting>
  <conditionalFormatting sqref="D29:E29">
    <cfRule type="expression" dxfId="55" priority="91" stopIfTrue="1">
      <formula>IF($D$29="",TRUE)</formula>
    </cfRule>
  </conditionalFormatting>
  <conditionalFormatting sqref="D32:E32">
    <cfRule type="expression" dxfId="54" priority="92" stopIfTrue="1">
      <formula>IF($D$32="",TRUE)</formula>
    </cfRule>
  </conditionalFormatting>
  <conditionalFormatting sqref="D33:E33">
    <cfRule type="expression" dxfId="53" priority="93" stopIfTrue="1">
      <formula>IF($D$33="",TRUE)</formula>
    </cfRule>
  </conditionalFormatting>
  <conditionalFormatting sqref="D34:E34">
    <cfRule type="expression" dxfId="52" priority="94" stopIfTrue="1">
      <formula>IF($D$34="",TRUE)</formula>
    </cfRule>
  </conditionalFormatting>
  <conditionalFormatting sqref="D35:E35">
    <cfRule type="expression" dxfId="51" priority="95" stopIfTrue="1">
      <formula>IF($D$35="",TRUE)</formula>
    </cfRule>
  </conditionalFormatting>
  <conditionalFormatting sqref="D8:J8">
    <cfRule type="expression" dxfId="50" priority="96" stopIfTrue="1">
      <formula>IF($D$8="",TRUE)</formula>
    </cfRule>
  </conditionalFormatting>
  <conditionalFormatting sqref="D9:G9">
    <cfRule type="expression" dxfId="49" priority="97" stopIfTrue="1">
      <formula>IF($D$9="",TRUE)</formula>
    </cfRule>
  </conditionalFormatting>
  <conditionalFormatting sqref="D15:J15">
    <cfRule type="expression" dxfId="48" priority="98" stopIfTrue="1">
      <formula>IF($D$15="",TRUE)</formula>
    </cfRule>
  </conditionalFormatting>
  <conditionalFormatting sqref="D16:J16">
    <cfRule type="expression" dxfId="47" priority="99" stopIfTrue="1">
      <formula>IF($D$16="",TRUE)</formula>
    </cfRule>
  </conditionalFormatting>
  <conditionalFormatting sqref="D17:J17">
    <cfRule type="expression" dxfId="46" priority="100" stopIfTrue="1">
      <formula>IF($D$17="",TRUE)</formula>
    </cfRule>
  </conditionalFormatting>
  <conditionalFormatting sqref="D18:J18">
    <cfRule type="expression" dxfId="45" priority="101" stopIfTrue="1">
      <formula>IF($D$18="",TRUE)</formula>
    </cfRule>
  </conditionalFormatting>
  <conditionalFormatting sqref="D20:J20">
    <cfRule type="expression" dxfId="44" priority="102" stopIfTrue="1">
      <formula>IF($D$20="",TRUE)</formula>
    </cfRule>
  </conditionalFormatting>
  <conditionalFormatting sqref="D21:J21">
    <cfRule type="expression" dxfId="43" priority="103" stopIfTrue="1">
      <formula>IF($D$21="",TRUE)</formula>
    </cfRule>
  </conditionalFormatting>
  <conditionalFormatting sqref="D22:E22">
    <cfRule type="expression" dxfId="42" priority="104" stopIfTrue="1">
      <formula>IF($D$22="",TRUE)</formula>
    </cfRule>
  </conditionalFormatting>
  <conditionalFormatting sqref="D39:E39 D45:E45 D51:E51 D57:E57 D63:E63">
    <cfRule type="expression" dxfId="41" priority="105" stopIfTrue="1">
      <formula>$P$39=""</formula>
    </cfRule>
    <cfRule type="expression" dxfId="40" priority="106" stopIfTrue="1">
      <formula>D39=""</formula>
    </cfRule>
  </conditionalFormatting>
  <conditionalFormatting sqref="D40:E40 D46:E46 D52:E52 D58:E58 D64:E64">
    <cfRule type="expression" dxfId="39" priority="107" stopIfTrue="1">
      <formula>$P$40=""</formula>
    </cfRule>
    <cfRule type="expression" dxfId="38" priority="108" stopIfTrue="1">
      <formula>D40=""</formula>
    </cfRule>
  </conditionalFormatting>
  <conditionalFormatting sqref="D41:E41 D47:E47 D53:E53 D59:E59 D65:E65">
    <cfRule type="expression" dxfId="37" priority="109" stopIfTrue="1">
      <formula>$P$41=""</formula>
    </cfRule>
    <cfRule type="expression" dxfId="36" priority="110" stopIfTrue="1">
      <formula>D41=""</formula>
    </cfRule>
  </conditionalFormatting>
  <conditionalFormatting sqref="D10:J10">
    <cfRule type="expression" dxfId="35" priority="1" stopIfTrue="1">
      <formula>IF($D$9=$Q$9,TRUE)</formula>
    </cfRule>
    <cfRule type="expression" dxfId="34" priority="111" stopIfTrue="1">
      <formula>IF(AND($D$10="",$D$9=$R$9),TRUE)</formula>
    </cfRule>
  </conditionalFormatting>
  <dataValidations count="6">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87:E87 D85:E85 D83:E83 D81:E81 D79:E79 D77:E77 D75:E75 D73:E73 D71:E71 D69:E69 D56:E59 D32:E35 D62:E65">
      <formula1>$D$94:$D$95</formula1>
    </dataValidation>
    <dataValidation type="list" allowBlank="1" showInputMessage="1" showErrorMessage="1" sqref="D38:E41 D44:E47">
      <formula1>$D$94:$D$96</formula1>
    </dataValidation>
    <dataValidation type="list" allowBlank="1" showInputMessage="1" showErrorMessage="1" sqref="D50:E53">
      <formula1>$D$97:$D$102</formula1>
    </dataValidation>
  </dataValidations>
  <hyperlinks>
    <hyperlink ref="I4:J4" location="Instructions!B71" display="Link to Terms &amp; Conditions"/>
    <hyperlink ref="F3:H3" location="Checker!A1" display="Checker!A1"/>
    <hyperlink ref="B88:J88" location="Checker!A1" display="Checker!A1"/>
    <hyperlink ref="B78:J78" location="Checker!A1" display="Checker!A1"/>
    <hyperlink ref="H61:J61"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2"/>
  <rowBreaks count="1" manualBreakCount="1">
    <brk id="60" max="1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Y1291"/>
  <sheetViews>
    <sheetView showGridLines="0" showZeros="0" zoomScaleNormal="100" workbookViewId="0">
      <pane ySplit="4" topLeftCell="A5" activePane="bottomLeft" state="frozen"/>
      <selection pane="bottomLeft" activeCell="C255" sqref="C255"/>
    </sheetView>
  </sheetViews>
  <sheetFormatPr defaultColWidth="8.75" defaultRowHeight="12.75"/>
  <cols>
    <col min="1" max="1" width="13.625" style="204" customWidth="1"/>
    <col min="2" max="2" width="13.375" style="204" customWidth="1"/>
    <col min="3" max="3" width="40.5" style="204" customWidth="1"/>
    <col min="4" max="4" width="30.625" style="204" customWidth="1"/>
    <col min="5" max="5" width="20.75" style="204" customWidth="1"/>
    <col min="6" max="7" width="13.75" style="204" customWidth="1"/>
    <col min="8" max="8" width="25.125" style="204" customWidth="1"/>
    <col min="9" max="9" width="24.25" style="204" customWidth="1"/>
    <col min="10" max="10" width="18.375" style="204" customWidth="1"/>
    <col min="11" max="11" width="27.375" style="204" customWidth="1"/>
    <col min="12" max="12" width="20.625" style="204" customWidth="1"/>
    <col min="13" max="13" width="35.125" style="204" customWidth="1"/>
    <col min="14" max="14" width="42.125" style="204" customWidth="1"/>
    <col min="15" max="15" width="32.125" style="204" customWidth="1"/>
    <col min="16" max="16" width="22.875" style="204" customWidth="1"/>
    <col min="17" max="17" width="43.5" style="204" customWidth="1"/>
    <col min="18" max="18" width="8.75" style="142" hidden="1" customWidth="1"/>
    <col min="19" max="19" width="6.125" style="142" hidden="1" customWidth="1"/>
    <col min="20" max="20" width="8.625" style="142" hidden="1" customWidth="1"/>
    <col min="21" max="21" width="8.75" style="142" hidden="1" customWidth="1"/>
    <col min="22" max="23" width="4.375" style="142" hidden="1" customWidth="1"/>
    <col min="24" max="24" width="4.375" style="204" hidden="1" customWidth="1"/>
    <col min="25" max="25" width="7.75" style="204" hidden="1" customWidth="1"/>
    <col min="26" max="31" width="4.375" style="204" customWidth="1"/>
    <col min="32" max="16384" width="8.75" style="204"/>
  </cols>
  <sheetData>
    <row r="1" spans="1:25" s="22" customFormat="1" ht="13.5" thickTop="1">
      <c r="A1" s="230"/>
      <c r="B1" s="224"/>
      <c r="C1" s="224"/>
      <c r="D1" s="224"/>
      <c r="E1" s="224"/>
      <c r="F1" s="224"/>
      <c r="G1" s="224"/>
      <c r="H1" s="224"/>
      <c r="I1" s="224"/>
      <c r="J1" s="224"/>
      <c r="K1" s="224"/>
      <c r="L1" s="224"/>
      <c r="M1" s="224"/>
      <c r="N1" s="224"/>
      <c r="O1" s="224"/>
      <c r="P1" s="224"/>
      <c r="Q1" s="225"/>
      <c r="R1" s="231" t="s">
        <v>4707</v>
      </c>
      <c r="S1" s="232"/>
      <c r="T1" s="233"/>
      <c r="U1" s="231"/>
      <c r="V1" s="231"/>
      <c r="W1" s="231"/>
    </row>
    <row r="2" spans="1:25" s="22" customFormat="1" ht="20.100000000000001" customHeight="1">
      <c r="A2" s="256"/>
      <c r="B2" s="302" t="str">
        <f ca="1">OFFSET(L!$C$1,MATCH("Smelter List"&amp;ADDRESS(ROW(),COLUMN(),4),L!$A:$A,0)-1,SL,,)</f>
        <v>TO BEGIN:</v>
      </c>
      <c r="C2" s="258"/>
      <c r="D2" s="258"/>
      <c r="E2" s="258"/>
      <c r="F2" s="113"/>
      <c r="G2" s="113"/>
      <c r="H2" s="113"/>
      <c r="I2" s="114"/>
      <c r="J2" s="392" t="str">
        <f ca="1">OFFSET(L!$C$1,MATCH("Smelter List"&amp;ADDRESS(ROW(),COLUMN(),4),L!$A:$A,0)-1,SL,,)</f>
        <v>Link to "CFSP Compliant Smelter List"</v>
      </c>
      <c r="K2" s="393"/>
      <c r="L2" s="393"/>
      <c r="M2" s="393"/>
      <c r="N2" s="393"/>
      <c r="O2" s="393"/>
      <c r="P2" s="170"/>
      <c r="Q2" s="159"/>
      <c r="R2" s="231"/>
      <c r="S2" s="231"/>
      <c r="T2" s="232"/>
      <c r="U2" s="231"/>
      <c r="V2" s="231"/>
      <c r="W2" s="231"/>
    </row>
    <row r="3" spans="1:25" s="22" customFormat="1" ht="183.95" customHeight="1">
      <c r="A3" s="257"/>
      <c r="B3" s="394" t="str">
        <f ca="1">OFFSET(L!$C$1,MATCH("Smelter List"&amp;ADDRESS(ROW(),COLUMN(),4),L!$A:$A,0)-1,SL,,)</f>
        <v xml:space="preserve">
Option A: If you know the Smelter Identification Number, input the number in Column A (columns B, C, D, E, F, G, I, and J will auto-populate).
Option B:  If you have a Metal and Smelter Reference List name combination, complete the following steps: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
NOTE: A combination of Options A and B can be used to complete the Smelter List tab.  Do not alter autopopulated cells.  All errors in the Smelter Reference List should be reported to CFSI by contacting info@conflictfreesmelter.org.
</v>
      </c>
      <c r="C3" s="394"/>
      <c r="D3" s="394"/>
      <c r="E3" s="394"/>
      <c r="F3" s="179"/>
      <c r="G3" s="179" t="str">
        <f ca="1">OFFSET(L!$C$1,MATCH("General"&amp;"Cpy",L!$A:$A,0)-1,SL,,)</f>
        <v>© 2016 Conflict-Free Sourcing Initiative. All rights reserved.</v>
      </c>
      <c r="H3" s="115"/>
      <c r="I3" s="116"/>
      <c r="J3" s="171"/>
      <c r="K3" s="172"/>
      <c r="L3" s="160"/>
      <c r="M3" s="173"/>
      <c r="N3" s="173"/>
      <c r="O3" s="124"/>
      <c r="P3" s="124"/>
      <c r="Q3" s="188" t="s">
        <v>4932</v>
      </c>
      <c r="R3" s="231"/>
      <c r="S3" s="231"/>
      <c r="T3" s="234" t="s">
        <v>2292</v>
      </c>
      <c r="U3" s="234" t="s">
        <v>2291</v>
      </c>
      <c r="V3" s="234" t="s">
        <v>2293</v>
      </c>
      <c r="W3" s="234" t="s">
        <v>2290</v>
      </c>
    </row>
    <row r="4" spans="1:25" s="237" customFormat="1" ht="78.75">
      <c r="A4" s="198" t="str">
        <f ca="1">OFFSET(L!$C$1,MATCH("Smelter List"&amp;ADDRESS(ROW(),COLUMN(),4),L!$A:$A,0)-1,SL,,)</f>
        <v>Smelter Identification Number Input Column</v>
      </c>
      <c r="B4" s="198" t="str">
        <f ca="1">OFFSET(L!$C$1,MATCH("Smelter List"&amp;ADDRESS(ROW(),COLUMN(),4),L!$A:$A,0)-1,SL,,)</f>
        <v>Metal (*)</v>
      </c>
      <c r="C4" s="198" t="str">
        <f ca="1">OFFSET(L!$C$1,MATCH("Smelter List"&amp;ADDRESS(ROW(),COLUMN(),4),L!$A:$A,0)-1,SL,,)</f>
        <v>Smelter Reference List (*)</v>
      </c>
      <c r="D4" s="198" t="str">
        <f ca="1">OFFSET(L!$C$1,MATCH("Smelter List"&amp;ADDRESS(ROW(),COLUMN(),4),L!$A:$A,0)-1,SL,,)</f>
        <v>Smelter Name (*)</v>
      </c>
      <c r="E4" s="198" t="str">
        <f ca="1">OFFSET(L!$C$1,MATCH("Smelter List"&amp;ADDRESS(ROW(),COLUMN(),4),L!$A:$A,0)-1,SL,,)</f>
        <v>Smelter Country (*)</v>
      </c>
      <c r="F4" s="198" t="str">
        <f ca="1">OFFSET(L!$C$1,MATCH("Smelter List"&amp;ADDRESS(ROW(),COLUMN(),4),L!$A:$A,0)-1,SL,,)</f>
        <v>Smelter Identification</v>
      </c>
      <c r="G4" s="198" t="str">
        <f ca="1">OFFSET(L!$C$1,MATCH("Smelter List"&amp;ADDRESS(ROW(),COLUMN(),4),L!$A:$A,0)-1,SL,,)</f>
        <v>Source of Smelter Identification Number</v>
      </c>
      <c r="H4" s="199" t="str">
        <f ca="1">OFFSET(L!$C$1,MATCH("Smelter List"&amp;ADDRESS(ROW(),COLUMN(),4),L!$A:$A,0)-1,SL,,)</f>
        <v xml:space="preserve">Smelter Street </v>
      </c>
      <c r="I4" s="199" t="str">
        <f ca="1">OFFSET(L!$C$1,MATCH("Smelter List"&amp;ADDRESS(ROW(),COLUMN(),4),L!$A:$A,0)-1,SL,,)</f>
        <v>Smelter City</v>
      </c>
      <c r="J4" s="199" t="str">
        <f ca="1">OFFSET(L!$C$1,MATCH("Smelter List"&amp;ADDRESS(ROW(),COLUMN(),4),L!$A:$A,0)-1,SL,,)</f>
        <v>Smelter Facility Location: State / Province</v>
      </c>
      <c r="K4" s="199" t="str">
        <f ca="1">OFFSET(L!$C$1,MATCH("Smelter List"&amp;ADDRESS(ROW(),COLUMN(),4),L!$A:$A,0)-1,SL,,)</f>
        <v>Smelter Contact Name</v>
      </c>
      <c r="L4" s="199" t="str">
        <f ca="1">OFFSET(L!$C$1,MATCH("Smelter List"&amp;ADDRESS(ROW(),COLUMN(),4),L!$A:$A,0)-1,SL,,)</f>
        <v>Smelter Contact Email</v>
      </c>
      <c r="M4" s="199" t="str">
        <f ca="1">OFFSET(L!$C$1,MATCH("Smelter List"&amp;ADDRESS(ROW(),COLUMN(),4),L!$A:$A,0)-1,SL,,)</f>
        <v>Proposed next steps</v>
      </c>
      <c r="N4" s="199" t="str">
        <f ca="1">OFFSET(L!$C$1,MATCH("Smelter List"&amp;ADDRESS(ROW(),COLUMN(),4),L!$A:$A,0)-1,SL,,)</f>
        <v>Name of Mine(s) or if recycled or scrap sourced, enter "recycled" or "scrap"</v>
      </c>
      <c r="O4" s="199" t="str">
        <f ca="1">OFFSET(L!$C$1,MATCH("Smelter List"&amp;ADDRESS(ROW(),COLUMN(),4),L!$A:$A,0)-1,SL,,)</f>
        <v>Location (Country) of Mine(s) or if recycled or scrap sourced, enter "recycled" or "scrap"</v>
      </c>
      <c r="P4" s="199" t="str">
        <f ca="1">OFFSET(L!$C$1,MATCH("Smelter List"&amp;ADDRESS(ROW(),COLUMN(),4),L!$A:$A,0)-1,SL,,)</f>
        <v>Does 100% of the smelter’s feedstock originate from recycled or scrap sources?</v>
      </c>
      <c r="Q4" s="200" t="str">
        <f ca="1">OFFSET(L!$C$1,MATCH("Smelter List"&amp;ADDRESS(ROW(),COLUMN(),4),L!$A:$A,0)-1,SL,,)</f>
        <v>Comments</v>
      </c>
      <c r="R4" s="235"/>
      <c r="S4" s="236"/>
      <c r="T4" s="236" t="s">
        <v>2538</v>
      </c>
      <c r="U4" s="236" t="s">
        <v>1802</v>
      </c>
      <c r="V4" s="236"/>
      <c r="W4" s="236"/>
    </row>
    <row r="5" spans="1:25" s="223" customFormat="1" ht="20.25">
      <c r="A5" s="291" t="s">
        <v>1384</v>
      </c>
      <c r="B5" s="292" t="str">
        <f ca="1">IF(LEN(A5)=0,"",INDEX('Smelter Reference List'!$A:$A,MATCH($A5,'Smelter Reference List'!$E:$E,0)))</f>
        <v>Tungsten</v>
      </c>
      <c r="C5" s="298" t="str">
        <f ca="1">IF(LEN(A5)=0,"",INDEX('Smelter Reference List'!$C:$C,MATCH($A5,'Smelter Reference List'!$E:$E,0)))</f>
        <v>A.L.M.T. TUNGSTEN Corp.</v>
      </c>
      <c r="D5" s="292" t="str">
        <f ca="1">IF(ISERROR($S5),"",OFFSET('Smelter Reference List'!$C$4,$S5-4,0)&amp;"")</f>
        <v>A.L.M.T. TUNGSTEN Corp.</v>
      </c>
      <c r="E5" s="292" t="str">
        <f ca="1">IF(ISERROR($S5),"",OFFSET('Smelter Reference List'!$D$4,$S5-4,0)&amp;"")</f>
        <v>JAPAN</v>
      </c>
      <c r="F5" s="292" t="str">
        <f ca="1">IF(ISERROR($S5),"",OFFSET('Smelter Reference List'!$E$4,$S5-4,0))</f>
        <v>CID000004</v>
      </c>
      <c r="G5" s="292" t="str">
        <f ca="1">IF(C5=$U$4,"Enter smelter details", IF(ISERROR($S5),"",OFFSET('Smelter Reference List'!$F$4,$S5-4,0)))</f>
        <v>CFSI</v>
      </c>
      <c r="H5" s="293">
        <f ca="1">IF(ISERROR($S5),"",OFFSET('Smelter Reference List'!$G$4,$S5-4,0))</f>
        <v>0</v>
      </c>
      <c r="I5" s="294" t="str">
        <f ca="1">IF(ISERROR($S5),"",OFFSET('Smelter Reference List'!$H$4,$S5-4,0))</f>
        <v>Toyama City</v>
      </c>
      <c r="J5" s="294" t="str">
        <f ca="1">IF(ISERROR($S5),"",OFFSET('Smelter Reference List'!$I$4,$S5-4,0))</f>
        <v>Toyama</v>
      </c>
      <c r="K5" s="295"/>
      <c r="L5" s="295"/>
      <c r="M5" s="295"/>
      <c r="N5" s="295"/>
      <c r="O5" s="295"/>
      <c r="P5" s="295"/>
      <c r="Q5" s="296"/>
      <c r="R5" s="227"/>
      <c r="S5" s="228">
        <f ca="1">IF(C5="",NA(),MATCH($B5&amp;$C5,'Smelter Reference List'!$J:$J,0))</f>
        <v>466</v>
      </c>
      <c r="T5" s="229"/>
      <c r="U5" s="229">
        <f t="shared" ref="U5" ca="1" si="0">IF(AND(C5="Smelter not listed",OR(LEN(D5)=0,LEN(E5)=0)),1,0)</f>
        <v>0</v>
      </c>
      <c r="V5" s="229"/>
      <c r="W5" s="229"/>
      <c r="Y5" s="223" t="str">
        <f t="shared" ref="Y5" ca="1" si="1">B5&amp;C5</f>
        <v>TungstenA.L.M.T. TUNGSTEN Corp.</v>
      </c>
    </row>
    <row r="6" spans="1:25" s="223" customFormat="1" ht="20.25">
      <c r="A6" s="291" t="s">
        <v>2637</v>
      </c>
      <c r="B6" s="292" t="str">
        <f ca="1">IF(LEN(A6)=0,"",INDEX('Smelter Reference List'!$A:$A,MATCH($A6,'Smelter Reference List'!$E:$E,0)))</f>
        <v>Gold</v>
      </c>
      <c r="C6" s="298" t="str">
        <f ca="1">IF(LEN(A6)=0,"",INDEX('Smelter Reference List'!$C:$C,MATCH($A6,'Smelter Reference List'!$E:$E,0)))</f>
        <v>Advanced Chemical Company</v>
      </c>
      <c r="D6" s="292" t="str">
        <f ca="1">IF(ISERROR($S6),"",OFFSET('Smelter Reference List'!$C$4,$S6-4,0)&amp;"")</f>
        <v>Advanced Chemical Company</v>
      </c>
      <c r="E6" s="292" t="str">
        <f ca="1">IF(ISERROR($S6),"",OFFSET('Smelter Reference List'!$D$4,$S6-4,0)&amp;"")</f>
        <v>UNITED STATES OF AMERICA</v>
      </c>
      <c r="F6" s="292" t="str">
        <f ca="1">IF(ISERROR($S6),"",OFFSET('Smelter Reference List'!$E$4,$S6-4,0))</f>
        <v>CID000015</v>
      </c>
      <c r="G6" s="292" t="str">
        <f ca="1">IF(C6=$U$4,"Enter smelter details", IF(ISERROR($S6),"",OFFSET('Smelter Reference List'!$F$4,$S6-4,0)))</f>
        <v>CFSI</v>
      </c>
      <c r="H6" s="293">
        <f ca="1">IF(ISERROR($S6),"",OFFSET('Smelter Reference List'!$G$4,$S6-4,0))</f>
        <v>0</v>
      </c>
      <c r="I6" s="294" t="str">
        <f ca="1">IF(ISERROR($S6),"",OFFSET('Smelter Reference List'!$H$4,$S6-4,0))</f>
        <v>Warwick</v>
      </c>
      <c r="J6" s="294" t="str">
        <f ca="1">IF(ISERROR($S6),"",OFFSET('Smelter Reference List'!$I$4,$S6-4,0))</f>
        <v>Rhode Island</v>
      </c>
      <c r="K6" s="295"/>
      <c r="L6" s="295"/>
      <c r="M6" s="295"/>
      <c r="N6" s="295"/>
      <c r="O6" s="295"/>
      <c r="P6" s="295"/>
      <c r="Q6" s="296"/>
      <c r="R6" s="227"/>
      <c r="S6" s="228">
        <f ca="1">IF(C6="",NA(),MATCH($B6&amp;$C6,'Smelter Reference List'!$J:$J,0))</f>
        <v>7</v>
      </c>
      <c r="T6" s="229"/>
      <c r="U6" s="229">
        <f t="shared" ref="U6:U69" ca="1" si="2">IF(AND(C6="Smelter not listed",OR(LEN(D6)=0,LEN(E6)=0)),1,0)</f>
        <v>0</v>
      </c>
      <c r="V6" s="229"/>
      <c r="W6" s="229"/>
      <c r="Y6" s="223" t="str">
        <f t="shared" ref="Y6:Y69" ca="1" si="3">B6&amp;C6</f>
        <v>GoldAdvanced Chemical Company</v>
      </c>
    </row>
    <row r="7" spans="1:25" s="223" customFormat="1" ht="20.25">
      <c r="A7" s="291" t="s">
        <v>1212</v>
      </c>
      <c r="B7" s="292" t="str">
        <f ca="1">IF(LEN(A7)=0,"",INDEX('Smelter Reference List'!$A:$A,MATCH($A7,'Smelter Reference List'!$E:$E,0)))</f>
        <v>Gold</v>
      </c>
      <c r="C7" s="298" t="str">
        <f ca="1">IF(LEN(A7)=0,"",INDEX('Smelter Reference List'!$C:$C,MATCH($A7,'Smelter Reference List'!$E:$E,0)))</f>
        <v>Aida Chemical Industries Co., Ltd.</v>
      </c>
      <c r="D7" s="292" t="str">
        <f ca="1">IF(ISERROR($S7),"",OFFSET('Smelter Reference List'!$C$4,$S7-4,0)&amp;"")</f>
        <v>Aida Chemical Industries Co., Ltd.</v>
      </c>
      <c r="E7" s="292" t="str">
        <f ca="1">IF(ISERROR($S7),"",OFFSET('Smelter Reference List'!$D$4,$S7-4,0)&amp;"")</f>
        <v>JAPAN</v>
      </c>
      <c r="F7" s="292" t="str">
        <f ca="1">IF(ISERROR($S7),"",OFFSET('Smelter Reference List'!$E$4,$S7-4,0))</f>
        <v>CID000019</v>
      </c>
      <c r="G7" s="292" t="str">
        <f ca="1">IF(C7=$U$4,"Enter smelter details", IF(ISERROR($S7),"",OFFSET('Smelter Reference List'!$F$4,$S7-4,0)))</f>
        <v>CFSI</v>
      </c>
      <c r="H7" s="293">
        <f ca="1">IF(ISERROR($S7),"",OFFSET('Smelter Reference List'!$G$4,$S7-4,0))</f>
        <v>0</v>
      </c>
      <c r="I7" s="294" t="str">
        <f ca="1">IF(ISERROR($S7),"",OFFSET('Smelter Reference List'!$H$4,$S7-4,0))</f>
        <v>Fuchu</v>
      </c>
      <c r="J7" s="294" t="str">
        <f ca="1">IF(ISERROR($S7),"",OFFSET('Smelter Reference List'!$I$4,$S7-4,0))</f>
        <v>Tokyo</v>
      </c>
      <c r="K7" s="295"/>
      <c r="L7" s="295"/>
      <c r="M7" s="295"/>
      <c r="N7" s="295"/>
      <c r="O7" s="295"/>
      <c r="P7" s="295"/>
      <c r="Q7" s="296"/>
      <c r="R7" s="227"/>
      <c r="S7" s="228">
        <f ca="1">IF(C7="",NA(),MATCH($B7&amp;$C7,'Smelter Reference List'!$J:$J,0))</f>
        <v>10</v>
      </c>
      <c r="T7" s="229"/>
      <c r="U7" s="229">
        <f t="shared" ca="1" si="2"/>
        <v>0</v>
      </c>
      <c r="V7" s="229"/>
      <c r="W7" s="229"/>
      <c r="Y7" s="223" t="str">
        <f t="shared" ca="1" si="3"/>
        <v>GoldAida Chemical Industries Co., Ltd.</v>
      </c>
    </row>
    <row r="8" spans="1:25" s="223" customFormat="1" ht="20.25">
      <c r="A8" s="291" t="s">
        <v>1213</v>
      </c>
      <c r="B8" s="292" t="str">
        <f ca="1">IF(LEN(A8)=0,"",INDEX('Smelter Reference List'!$A:$A,MATCH($A8,'Smelter Reference List'!$E:$E,0)))</f>
        <v>Gold</v>
      </c>
      <c r="C8" s="298" t="str">
        <f ca="1">IF(LEN(A8)=0,"",INDEX('Smelter Reference List'!$C:$C,MATCH($A8,'Smelter Reference List'!$E:$E,0)))</f>
        <v>Allgemeine Gold-und Silberscheideanstalt A.G.</v>
      </c>
      <c r="D8" s="292" t="str">
        <f ca="1">IF(ISERROR($S8),"",OFFSET('Smelter Reference List'!$C$4,$S8-4,0)&amp;"")</f>
        <v>Allgemeine Gold-und Silberscheideanstalt A.G.</v>
      </c>
      <c r="E8" s="292" t="str">
        <f ca="1">IF(ISERROR($S8),"",OFFSET('Smelter Reference List'!$D$4,$S8-4,0)&amp;"")</f>
        <v>GERMANY</v>
      </c>
      <c r="F8" s="292" t="str">
        <f ca="1">IF(ISERROR($S8),"",OFFSET('Smelter Reference List'!$E$4,$S8-4,0))</f>
        <v>CID000035</v>
      </c>
      <c r="G8" s="292" t="str">
        <f ca="1">IF(C8=$U$4,"Enter smelter details", IF(ISERROR($S8),"",OFFSET('Smelter Reference List'!$F$4,$S8-4,0)))</f>
        <v>CFSI</v>
      </c>
      <c r="H8" s="293">
        <f ca="1">IF(ISERROR($S8),"",OFFSET('Smelter Reference List'!$G$4,$S8-4,0))</f>
        <v>0</v>
      </c>
      <c r="I8" s="294" t="str">
        <f ca="1">IF(ISERROR($S8),"",OFFSET('Smelter Reference List'!$H$4,$S8-4,0))</f>
        <v>Pforzheim</v>
      </c>
      <c r="J8" s="294" t="str">
        <f ca="1">IF(ISERROR($S8),"",OFFSET('Smelter Reference List'!$I$4,$S8-4,0))</f>
        <v>Baden-Württemberg</v>
      </c>
      <c r="K8" s="295"/>
      <c r="L8" s="295"/>
      <c r="M8" s="295"/>
      <c r="N8" s="295"/>
      <c r="O8" s="295"/>
      <c r="P8" s="295"/>
      <c r="Q8" s="296"/>
      <c r="R8" s="227"/>
      <c r="S8" s="228">
        <f ca="1">IF(C8="",NA(),MATCH($B8&amp;$C8,'Smelter Reference List'!$J:$J,0))</f>
        <v>12</v>
      </c>
      <c r="T8" s="229"/>
      <c r="U8" s="229">
        <f t="shared" ca="1" si="2"/>
        <v>0</v>
      </c>
      <c r="V8" s="229"/>
      <c r="W8" s="229"/>
      <c r="Y8" s="223" t="str">
        <f t="shared" ca="1" si="3"/>
        <v>GoldAllgemeine Gold-und Silberscheideanstalt A.G.</v>
      </c>
    </row>
    <row r="9" spans="1:25" s="223" customFormat="1" ht="20.25">
      <c r="A9" s="291" t="s">
        <v>1214</v>
      </c>
      <c r="B9" s="292" t="str">
        <f ca="1">IF(LEN(A9)=0,"",INDEX('Smelter Reference List'!$A:$A,MATCH($A9,'Smelter Reference List'!$E:$E,0)))</f>
        <v>Gold</v>
      </c>
      <c r="C9" s="298" t="str">
        <f ca="1">IF(LEN(A9)=0,"",INDEX('Smelter Reference List'!$C:$C,MATCH($A9,'Smelter Reference List'!$E:$E,0)))</f>
        <v>Almalyk Mining and Metallurgical Complex (AMMC)</v>
      </c>
      <c r="D9" s="292" t="str">
        <f ca="1">IF(ISERROR($S9),"",OFFSET('Smelter Reference List'!$C$4,$S9-4,0)&amp;"")</f>
        <v>Almalyk Mining and Metallurgical Complex (AMMC)</v>
      </c>
      <c r="E9" s="292" t="str">
        <f ca="1">IF(ISERROR($S9),"",OFFSET('Smelter Reference List'!$D$4,$S9-4,0)&amp;"")</f>
        <v>UZBEKISTAN</v>
      </c>
      <c r="F9" s="292" t="str">
        <f ca="1">IF(ISERROR($S9),"",OFFSET('Smelter Reference List'!$E$4,$S9-4,0))</f>
        <v>CID000041</v>
      </c>
      <c r="G9" s="292" t="str">
        <f ca="1">IF(C9=$U$4,"Enter smelter details", IF(ISERROR($S9),"",OFFSET('Smelter Reference List'!$F$4,$S9-4,0)))</f>
        <v>CFSI</v>
      </c>
      <c r="H9" s="293">
        <f ca="1">IF(ISERROR($S9),"",OFFSET('Smelter Reference List'!$G$4,$S9-4,0))</f>
        <v>0</v>
      </c>
      <c r="I9" s="294" t="str">
        <f ca="1">IF(ISERROR($S9),"",OFFSET('Smelter Reference List'!$H$4,$S9-4,0))</f>
        <v>Almalyk</v>
      </c>
      <c r="J9" s="294" t="str">
        <f ca="1">IF(ISERROR($S9),"",OFFSET('Smelter Reference List'!$I$4,$S9-4,0))</f>
        <v>Tashkent Province</v>
      </c>
      <c r="K9" s="295"/>
      <c r="L9" s="295"/>
      <c r="M9" s="295"/>
      <c r="N9" s="295"/>
      <c r="O9" s="295"/>
      <c r="P9" s="295"/>
      <c r="Q9" s="296"/>
      <c r="R9" s="227"/>
      <c r="S9" s="228">
        <f ca="1">IF(C9="",NA(),MATCH($B9&amp;$C9,'Smelter Reference List'!$J:$J,0))</f>
        <v>13</v>
      </c>
      <c r="T9" s="229"/>
      <c r="U9" s="229">
        <f t="shared" ca="1" si="2"/>
        <v>0</v>
      </c>
      <c r="V9" s="229"/>
      <c r="W9" s="229"/>
      <c r="Y9" s="223" t="str">
        <f t="shared" ca="1" si="3"/>
        <v>GoldAlmalyk Mining and Metallurgical Complex (AMMC)</v>
      </c>
    </row>
    <row r="10" spans="1:25" s="223" customFormat="1" ht="20.25">
      <c r="A10" s="291" t="s">
        <v>1215</v>
      </c>
      <c r="B10" s="292" t="str">
        <f ca="1">IF(LEN(A10)=0,"",INDEX('Smelter Reference List'!$A:$A,MATCH($A10,'Smelter Reference List'!$E:$E,0)))</f>
        <v>Gold</v>
      </c>
      <c r="C10" s="298" t="str">
        <f ca="1">IF(LEN(A10)=0,"",INDEX('Smelter Reference List'!$C:$C,MATCH($A10,'Smelter Reference List'!$E:$E,0)))</f>
        <v>AngloGold Ashanti Córrego do Sítio Mineração</v>
      </c>
      <c r="D10" s="292" t="str">
        <f ca="1">IF(ISERROR($S10),"",OFFSET('Smelter Reference List'!$C$4,$S10-4,0)&amp;"")</f>
        <v>AngloGold Ashanti Córrego do Sítio Mineração</v>
      </c>
      <c r="E10" s="292" t="str">
        <f ca="1">IF(ISERROR($S10),"",OFFSET('Smelter Reference List'!$D$4,$S10-4,0)&amp;"")</f>
        <v>BRAZIL</v>
      </c>
      <c r="F10" s="292" t="str">
        <f ca="1">IF(ISERROR($S10),"",OFFSET('Smelter Reference List'!$E$4,$S10-4,0))</f>
        <v>CID000058</v>
      </c>
      <c r="G10" s="292" t="str">
        <f ca="1">IF(C10=$U$4,"Enter smelter details", IF(ISERROR($S10),"",OFFSET('Smelter Reference List'!$F$4,$S10-4,0)))</f>
        <v>CFSI</v>
      </c>
      <c r="H10" s="293">
        <f ca="1">IF(ISERROR($S10),"",OFFSET('Smelter Reference List'!$G$4,$S10-4,0))</f>
        <v>0</v>
      </c>
      <c r="I10" s="294" t="str">
        <f ca="1">IF(ISERROR($S10),"",OFFSET('Smelter Reference List'!$H$4,$S10-4,0))</f>
        <v>Nova Lima</v>
      </c>
      <c r="J10" s="294" t="str">
        <f ca="1">IF(ISERROR($S10),"",OFFSET('Smelter Reference List'!$I$4,$S10-4,0))</f>
        <v>Minas Gerais</v>
      </c>
      <c r="K10" s="295"/>
      <c r="L10" s="295"/>
      <c r="M10" s="295"/>
      <c r="N10" s="295"/>
      <c r="O10" s="295"/>
      <c r="P10" s="295"/>
      <c r="Q10" s="296"/>
      <c r="R10" s="227"/>
      <c r="S10" s="228">
        <f ca="1">IF(C10="",NA(),MATCH($B10&amp;$C10,'Smelter Reference List'!$J:$J,0))</f>
        <v>15</v>
      </c>
      <c r="T10" s="229"/>
      <c r="U10" s="229">
        <f t="shared" ca="1" si="2"/>
        <v>0</v>
      </c>
      <c r="V10" s="229"/>
      <c r="W10" s="229"/>
      <c r="Y10" s="223" t="str">
        <f t="shared" ca="1" si="3"/>
        <v>GoldAngloGold Ashanti Córrego do Sítio Mineração</v>
      </c>
    </row>
    <row r="11" spans="1:25" s="223" customFormat="1" ht="20.25">
      <c r="A11" s="291" t="s">
        <v>1216</v>
      </c>
      <c r="B11" s="292" t="str">
        <f ca="1">IF(LEN(A11)=0,"",INDEX('Smelter Reference List'!$A:$A,MATCH($A11,'Smelter Reference List'!$E:$E,0)))</f>
        <v>Gold</v>
      </c>
      <c r="C11" s="298" t="str">
        <f ca="1">IF(LEN(A11)=0,"",INDEX('Smelter Reference List'!$C:$C,MATCH($A11,'Smelter Reference List'!$E:$E,0)))</f>
        <v>Argor-Heraeus S.A.</v>
      </c>
      <c r="D11" s="292" t="str">
        <f ca="1">IF(ISERROR($S11),"",OFFSET('Smelter Reference List'!$C$4,$S11-4,0)&amp;"")</f>
        <v>Argor-Heraeus S.A.</v>
      </c>
      <c r="E11" s="292" t="str">
        <f ca="1">IF(ISERROR($S11),"",OFFSET('Smelter Reference List'!$D$4,$S11-4,0)&amp;"")</f>
        <v>SWITZERLAND</v>
      </c>
      <c r="F11" s="292" t="str">
        <f ca="1">IF(ISERROR($S11),"",OFFSET('Smelter Reference List'!$E$4,$S11-4,0))</f>
        <v>CID000077</v>
      </c>
      <c r="G11" s="292" t="str">
        <f ca="1">IF(C11=$U$4,"Enter smelter details", IF(ISERROR($S11),"",OFFSET('Smelter Reference List'!$F$4,$S11-4,0)))</f>
        <v>CFSI</v>
      </c>
      <c r="H11" s="293">
        <f ca="1">IF(ISERROR($S11),"",OFFSET('Smelter Reference List'!$G$4,$S11-4,0))</f>
        <v>0</v>
      </c>
      <c r="I11" s="294" t="str">
        <f ca="1">IF(ISERROR($S11),"",OFFSET('Smelter Reference List'!$H$4,$S11-4,0))</f>
        <v>Mendrisio</v>
      </c>
      <c r="J11" s="294" t="str">
        <f ca="1">IF(ISERROR($S11),"",OFFSET('Smelter Reference List'!$I$4,$S11-4,0))</f>
        <v>Ticino</v>
      </c>
      <c r="K11" s="295"/>
      <c r="L11" s="295"/>
      <c r="M11" s="295"/>
      <c r="N11" s="295"/>
      <c r="O11" s="295"/>
      <c r="P11" s="295"/>
      <c r="Q11" s="296"/>
      <c r="R11" s="227"/>
      <c r="S11" s="228">
        <f ca="1">IF(C11="",NA(),MATCH($B11&amp;$C11,'Smelter Reference List'!$J:$J,0))</f>
        <v>18</v>
      </c>
      <c r="T11" s="229"/>
      <c r="U11" s="229">
        <f t="shared" ca="1" si="2"/>
        <v>0</v>
      </c>
      <c r="V11" s="229"/>
      <c r="W11" s="229"/>
      <c r="Y11" s="223" t="str">
        <f t="shared" ca="1" si="3"/>
        <v>GoldArgor-Heraeus S.A.</v>
      </c>
    </row>
    <row r="12" spans="1:25" s="223" customFormat="1" ht="20.25">
      <c r="A12" s="291" t="s">
        <v>1217</v>
      </c>
      <c r="B12" s="292" t="str">
        <f ca="1">IF(LEN(A12)=0,"",INDEX('Smelter Reference List'!$A:$A,MATCH($A12,'Smelter Reference List'!$E:$E,0)))</f>
        <v>Gold</v>
      </c>
      <c r="C12" s="298" t="str">
        <f ca="1">IF(LEN(A12)=0,"",INDEX('Smelter Reference List'!$C:$C,MATCH($A12,'Smelter Reference List'!$E:$E,0)))</f>
        <v>Asahi Pretec Corp.</v>
      </c>
      <c r="D12" s="292" t="str">
        <f ca="1">IF(ISERROR($S12),"",OFFSET('Smelter Reference List'!$C$4,$S12-4,0)&amp;"")</f>
        <v>Asahi Pretec Corp.</v>
      </c>
      <c r="E12" s="292" t="str">
        <f ca="1">IF(ISERROR($S12),"",OFFSET('Smelter Reference List'!$D$4,$S12-4,0)&amp;"")</f>
        <v>JAPAN</v>
      </c>
      <c r="F12" s="292" t="str">
        <f ca="1">IF(ISERROR($S12),"",OFFSET('Smelter Reference List'!$E$4,$S12-4,0))</f>
        <v>CID000082</v>
      </c>
      <c r="G12" s="292" t="str">
        <f ca="1">IF(C12=$U$4,"Enter smelter details", IF(ISERROR($S12),"",OFFSET('Smelter Reference List'!$F$4,$S12-4,0)))</f>
        <v>CFSI</v>
      </c>
      <c r="H12" s="293">
        <f ca="1">IF(ISERROR($S12),"",OFFSET('Smelter Reference List'!$G$4,$S12-4,0))</f>
        <v>0</v>
      </c>
      <c r="I12" s="294" t="str">
        <f ca="1">IF(ISERROR($S12),"",OFFSET('Smelter Reference List'!$H$4,$S12-4,0))</f>
        <v>Kobe</v>
      </c>
      <c r="J12" s="294" t="str">
        <f ca="1">IF(ISERROR($S12),"",OFFSET('Smelter Reference List'!$I$4,$S12-4,0))</f>
        <v>Hyogo</v>
      </c>
      <c r="K12" s="295"/>
      <c r="L12" s="295"/>
      <c r="M12" s="295"/>
      <c r="N12" s="295"/>
      <c r="O12" s="295"/>
      <c r="P12" s="295"/>
      <c r="Q12" s="296"/>
      <c r="R12" s="227"/>
      <c r="S12" s="228">
        <f ca="1">IF(C12="",NA(),MATCH($B12&amp;$C12,'Smelter Reference List'!$J:$J,0))</f>
        <v>19</v>
      </c>
      <c r="T12" s="229"/>
      <c r="U12" s="229">
        <f t="shared" ca="1" si="2"/>
        <v>0</v>
      </c>
      <c r="V12" s="229"/>
      <c r="W12" s="229"/>
      <c r="Y12" s="223" t="str">
        <f t="shared" ca="1" si="3"/>
        <v>GoldAsahi Pretec Corp.</v>
      </c>
    </row>
    <row r="13" spans="1:25" s="223" customFormat="1" ht="20.25">
      <c r="A13" s="291" t="s">
        <v>1218</v>
      </c>
      <c r="B13" s="292" t="str">
        <f ca="1">IF(LEN(A13)=0,"",INDEX('Smelter Reference List'!$A:$A,MATCH($A13,'Smelter Reference List'!$E:$E,0)))</f>
        <v>Gold</v>
      </c>
      <c r="C13" s="298" t="str">
        <f ca="1">IF(LEN(A13)=0,"",INDEX('Smelter Reference List'!$C:$C,MATCH($A13,'Smelter Reference List'!$E:$E,0)))</f>
        <v>Asaka Riken Co., Ltd.</v>
      </c>
      <c r="D13" s="292" t="str">
        <f ca="1">IF(ISERROR($S13),"",OFFSET('Smelter Reference List'!$C$4,$S13-4,0)&amp;"")</f>
        <v>Asaka Riken Co., Ltd.</v>
      </c>
      <c r="E13" s="292" t="str">
        <f ca="1">IF(ISERROR($S13),"",OFFSET('Smelter Reference List'!$D$4,$S13-4,0)&amp;"")</f>
        <v>JAPAN</v>
      </c>
      <c r="F13" s="292" t="str">
        <f ca="1">IF(ISERROR($S13),"",OFFSET('Smelter Reference List'!$E$4,$S13-4,0))</f>
        <v>CID000090</v>
      </c>
      <c r="G13" s="292" t="str">
        <f ca="1">IF(C13=$U$4,"Enter smelter details", IF(ISERROR($S13),"",OFFSET('Smelter Reference List'!$F$4,$S13-4,0)))</f>
        <v>CFSI</v>
      </c>
      <c r="H13" s="293">
        <f ca="1">IF(ISERROR($S13),"",OFFSET('Smelter Reference List'!$G$4,$S13-4,0))</f>
        <v>0</v>
      </c>
      <c r="I13" s="294" t="str">
        <f ca="1">IF(ISERROR($S13),"",OFFSET('Smelter Reference List'!$H$4,$S13-4,0))</f>
        <v>Tamura</v>
      </c>
      <c r="J13" s="294" t="str">
        <f ca="1">IF(ISERROR($S13),"",OFFSET('Smelter Reference List'!$I$4,$S13-4,0))</f>
        <v>Fukushima</v>
      </c>
      <c r="K13" s="295"/>
      <c r="L13" s="295"/>
      <c r="M13" s="295"/>
      <c r="N13" s="295"/>
      <c r="O13" s="295"/>
      <c r="P13" s="295"/>
      <c r="Q13" s="296"/>
      <c r="R13" s="227"/>
      <c r="S13" s="228">
        <f ca="1">IF(C13="",NA(),MATCH($B13&amp;$C13,'Smelter Reference List'!$J:$J,0))</f>
        <v>22</v>
      </c>
      <c r="T13" s="229"/>
      <c r="U13" s="229">
        <f t="shared" ca="1" si="2"/>
        <v>0</v>
      </c>
      <c r="V13" s="229"/>
      <c r="W13" s="229"/>
      <c r="Y13" s="223" t="str">
        <f t="shared" ca="1" si="3"/>
        <v>GoldAsaka Riken Co., Ltd.</v>
      </c>
    </row>
    <row r="14" spans="1:25" s="223" customFormat="1" ht="20.25">
      <c r="A14" s="291" t="s">
        <v>1219</v>
      </c>
      <c r="B14" s="292" t="str">
        <f ca="1">IF(LEN(A14)=0,"",INDEX('Smelter Reference List'!$A:$A,MATCH($A14,'Smelter Reference List'!$E:$E,0)))</f>
        <v>Gold</v>
      </c>
      <c r="C14" s="298" t="str">
        <f ca="1">IF(LEN(A14)=0,"",INDEX('Smelter Reference List'!$C:$C,MATCH($A14,'Smelter Reference List'!$E:$E,0)))</f>
        <v>Atasay Kuyumculuk Sanayi Ve Ticaret A.S.</v>
      </c>
      <c r="D14" s="292" t="str">
        <f ca="1">IF(ISERROR($S14),"",OFFSET('Smelter Reference List'!$C$4,$S14-4,0)&amp;"")</f>
        <v>Atasay Kuyumculuk Sanayi Ve Ticaret A.S.</v>
      </c>
      <c r="E14" s="292" t="str">
        <f ca="1">IF(ISERROR($S14),"",OFFSET('Smelter Reference List'!$D$4,$S14-4,0)&amp;"")</f>
        <v>TURKEY</v>
      </c>
      <c r="F14" s="292" t="str">
        <f ca="1">IF(ISERROR($S14),"",OFFSET('Smelter Reference List'!$E$4,$S14-4,0))</f>
        <v>CID000103</v>
      </c>
      <c r="G14" s="292" t="str">
        <f ca="1">IF(C14=$U$4,"Enter smelter details", IF(ISERROR($S14),"",OFFSET('Smelter Reference List'!$F$4,$S14-4,0)))</f>
        <v>CFSI</v>
      </c>
      <c r="H14" s="293">
        <f ca="1">IF(ISERROR($S14),"",OFFSET('Smelter Reference List'!$G$4,$S14-4,0))</f>
        <v>0</v>
      </c>
      <c r="I14" s="294" t="str">
        <f ca="1">IF(ISERROR($S14),"",OFFSET('Smelter Reference List'!$H$4,$S14-4,0))</f>
        <v>Istanbul</v>
      </c>
      <c r="J14" s="294" t="str">
        <f ca="1">IF(ISERROR($S14),"",OFFSET('Smelter Reference List'!$I$4,$S14-4,0))</f>
        <v>Istanbul Province</v>
      </c>
      <c r="K14" s="295"/>
      <c r="L14" s="295"/>
      <c r="M14" s="295"/>
      <c r="N14" s="295"/>
      <c r="O14" s="295"/>
      <c r="P14" s="295"/>
      <c r="Q14" s="296"/>
      <c r="R14" s="227"/>
      <c r="S14" s="228">
        <f ca="1">IF(C14="",NA(),MATCH($B14&amp;$C14,'Smelter Reference List'!$J:$J,0))</f>
        <v>24</v>
      </c>
      <c r="T14" s="229"/>
      <c r="U14" s="229">
        <f t="shared" ca="1" si="2"/>
        <v>0</v>
      </c>
      <c r="V14" s="229"/>
      <c r="W14" s="229"/>
      <c r="Y14" s="223" t="str">
        <f t="shared" ca="1" si="3"/>
        <v>GoldAtasay Kuyumculuk Sanayi Ve Ticaret A.S.</v>
      </c>
    </row>
    <row r="15" spans="1:25" s="223" customFormat="1" ht="20.25">
      <c r="A15" s="291" t="s">
        <v>1385</v>
      </c>
      <c r="B15" s="292" t="str">
        <f ca="1">IF(LEN(A15)=0,"",INDEX('Smelter Reference List'!$A:$A,MATCH($A15,'Smelter Reference List'!$E:$E,0)))</f>
        <v>Tungsten</v>
      </c>
      <c r="C15" s="298" t="str">
        <f ca="1">IF(LEN(A15)=0,"",INDEX('Smelter Reference List'!$C:$C,MATCH($A15,'Smelter Reference List'!$E:$E,0)))</f>
        <v>Kennametal Huntsville</v>
      </c>
      <c r="D15" s="292" t="str">
        <f ca="1">IF(ISERROR($S15),"",OFFSET('Smelter Reference List'!$C$4,$S15-4,0)&amp;"")</f>
        <v>Kennametal Huntsville</v>
      </c>
      <c r="E15" s="292" t="str">
        <f ca="1">IF(ISERROR($S15),"",OFFSET('Smelter Reference List'!$D$4,$S15-4,0)&amp;"")</f>
        <v>UNITED STATES OF AMERICA</v>
      </c>
      <c r="F15" s="292" t="str">
        <f ca="1">IF(ISERROR($S15),"",OFFSET('Smelter Reference List'!$E$4,$S15-4,0))</f>
        <v>CID000105</v>
      </c>
      <c r="G15" s="292" t="str">
        <f ca="1">IF(C15=$U$4,"Enter smelter details", IF(ISERROR($S15),"",OFFSET('Smelter Reference List'!$F$4,$S15-4,0)))</f>
        <v>CFSI</v>
      </c>
      <c r="H15" s="293">
        <f ca="1">IF(ISERROR($S15),"",OFFSET('Smelter Reference List'!$G$4,$S15-4,0))</f>
        <v>0</v>
      </c>
      <c r="I15" s="294" t="str">
        <f ca="1">IF(ISERROR($S15),"",OFFSET('Smelter Reference List'!$H$4,$S15-4,0))</f>
        <v>Huntsville</v>
      </c>
      <c r="J15" s="294" t="str">
        <f ca="1">IF(ISERROR($S15),"",OFFSET('Smelter Reference List'!$I$4,$S15-4,0))</f>
        <v>Alabama</v>
      </c>
      <c r="K15" s="295"/>
      <c r="L15" s="295"/>
      <c r="M15" s="295"/>
      <c r="N15" s="295"/>
      <c r="O15" s="295"/>
      <c r="P15" s="295"/>
      <c r="Q15" s="296"/>
      <c r="R15" s="227"/>
      <c r="S15" s="228">
        <f ca="1">IF(C15="",NA(),MATCH($B15&amp;$C15,'Smelter Reference List'!$J:$J,0))</f>
        <v>508</v>
      </c>
      <c r="T15" s="229"/>
      <c r="U15" s="229">
        <f t="shared" ca="1" si="2"/>
        <v>0</v>
      </c>
      <c r="V15" s="229"/>
      <c r="W15" s="229"/>
      <c r="Y15" s="223" t="str">
        <f t="shared" ca="1" si="3"/>
        <v>TungstenKennametal Huntsville</v>
      </c>
    </row>
    <row r="16" spans="1:25" s="223" customFormat="1" ht="20.25">
      <c r="A16" s="291" t="s">
        <v>1220</v>
      </c>
      <c r="B16" s="292" t="str">
        <f ca="1">IF(LEN(A16)=0,"",INDEX('Smelter Reference List'!$A:$A,MATCH($A16,'Smelter Reference List'!$E:$E,0)))</f>
        <v>Gold</v>
      </c>
      <c r="C16" s="298" t="str">
        <f ca="1">IF(LEN(A16)=0,"",INDEX('Smelter Reference List'!$C:$C,MATCH($A16,'Smelter Reference List'!$E:$E,0)))</f>
        <v>Aurubis AG</v>
      </c>
      <c r="D16" s="292" t="str">
        <f ca="1">IF(ISERROR($S16),"",OFFSET('Smelter Reference List'!$C$4,$S16-4,0)&amp;"")</f>
        <v>Aurubis AG</v>
      </c>
      <c r="E16" s="292" t="str">
        <f ca="1">IF(ISERROR($S16),"",OFFSET('Smelter Reference List'!$D$4,$S16-4,0)&amp;"")</f>
        <v>GERMANY</v>
      </c>
      <c r="F16" s="292" t="str">
        <f ca="1">IF(ISERROR($S16),"",OFFSET('Smelter Reference List'!$E$4,$S16-4,0))</f>
        <v>CID000113</v>
      </c>
      <c r="G16" s="292" t="str">
        <f ca="1">IF(C16=$U$4,"Enter smelter details", IF(ISERROR($S16),"",OFFSET('Smelter Reference List'!$F$4,$S16-4,0)))</f>
        <v>CFSI</v>
      </c>
      <c r="H16" s="293">
        <f ca="1">IF(ISERROR($S16),"",OFFSET('Smelter Reference List'!$G$4,$S16-4,0))</f>
        <v>0</v>
      </c>
      <c r="I16" s="294" t="str">
        <f ca="1">IF(ISERROR($S16),"",OFFSET('Smelter Reference List'!$H$4,$S16-4,0))</f>
        <v>Hamburg</v>
      </c>
      <c r="J16" s="294" t="str">
        <f ca="1">IF(ISERROR($S16),"",OFFSET('Smelter Reference List'!$I$4,$S16-4,0))</f>
        <v>Hamburg State</v>
      </c>
      <c r="K16" s="295"/>
      <c r="L16" s="295"/>
      <c r="M16" s="295"/>
      <c r="N16" s="295"/>
      <c r="O16" s="295"/>
      <c r="P16" s="295"/>
      <c r="Q16" s="296"/>
      <c r="R16" s="227"/>
      <c r="S16" s="228">
        <f ca="1">IF(C16="",NA(),MATCH($B16&amp;$C16,'Smelter Reference List'!$J:$J,0))</f>
        <v>27</v>
      </c>
      <c r="T16" s="229"/>
      <c r="U16" s="229">
        <f t="shared" ca="1" si="2"/>
        <v>0</v>
      </c>
      <c r="V16" s="229"/>
      <c r="W16" s="229"/>
      <c r="Y16" s="223" t="str">
        <f t="shared" ca="1" si="3"/>
        <v>GoldAurubis AG</v>
      </c>
    </row>
    <row r="17" spans="1:25" s="223" customFormat="1" ht="20.25">
      <c r="A17" s="291" t="s">
        <v>1221</v>
      </c>
      <c r="B17" s="292" t="str">
        <f ca="1">IF(LEN(A17)=0,"",INDEX('Smelter Reference List'!$A:$A,MATCH($A17,'Smelter Reference List'!$E:$E,0)))</f>
        <v>Gold</v>
      </c>
      <c r="C17" s="298" t="str">
        <f ca="1">IF(LEN(A17)=0,"",INDEX('Smelter Reference List'!$C:$C,MATCH($A17,'Smelter Reference List'!$E:$E,0)))</f>
        <v>Bangko Sentral ng Pilipinas (Central Bank of the Philippines)</v>
      </c>
      <c r="D17" s="292" t="str">
        <f ca="1">IF(ISERROR($S17),"",OFFSET('Smelter Reference List'!$C$4,$S17-4,0)&amp;"")</f>
        <v>Bangko Sentral ng Pilipinas (Central Bank of the Philippines)</v>
      </c>
      <c r="E17" s="292" t="str">
        <f ca="1">IF(ISERROR($S17),"",OFFSET('Smelter Reference List'!$D$4,$S17-4,0)&amp;"")</f>
        <v>PHILIPPINES</v>
      </c>
      <c r="F17" s="292" t="str">
        <f ca="1">IF(ISERROR($S17),"",OFFSET('Smelter Reference List'!$E$4,$S17-4,0))</f>
        <v>CID000128</v>
      </c>
      <c r="G17" s="292" t="str">
        <f ca="1">IF(C17=$U$4,"Enter smelter details", IF(ISERROR($S17),"",OFFSET('Smelter Reference List'!$F$4,$S17-4,0)))</f>
        <v>CFSI</v>
      </c>
      <c r="H17" s="293">
        <f ca="1">IF(ISERROR($S17),"",OFFSET('Smelter Reference List'!$G$4,$S17-4,0))</f>
        <v>0</v>
      </c>
      <c r="I17" s="294" t="str">
        <f ca="1">IF(ISERROR($S17),"",OFFSET('Smelter Reference List'!$H$4,$S17-4,0))</f>
        <v>Quezon City</v>
      </c>
      <c r="J17" s="294" t="str">
        <f ca="1">IF(ISERROR($S17),"",OFFSET('Smelter Reference List'!$I$4,$S17-4,0))</f>
        <v>Manila</v>
      </c>
      <c r="K17" s="295"/>
      <c r="L17" s="295"/>
      <c r="M17" s="295"/>
      <c r="N17" s="295"/>
      <c r="O17" s="295"/>
      <c r="P17" s="295"/>
      <c r="Q17" s="296"/>
      <c r="R17" s="227"/>
      <c r="S17" s="228">
        <f ca="1">IF(C17="",NA(),MATCH($B17&amp;$C17,'Smelter Reference List'!$J:$J,0))</f>
        <v>29</v>
      </c>
      <c r="T17" s="229"/>
      <c r="U17" s="229">
        <f t="shared" ca="1" si="2"/>
        <v>0</v>
      </c>
      <c r="V17" s="229"/>
      <c r="W17" s="229"/>
      <c r="Y17" s="223" t="str">
        <f t="shared" ca="1" si="3"/>
        <v>GoldBangko Sentral ng Pilipinas (Central Bank of the Philippines)</v>
      </c>
    </row>
    <row r="18" spans="1:25" s="223" customFormat="1" ht="20.25">
      <c r="A18" s="291" t="s">
        <v>1222</v>
      </c>
      <c r="B18" s="292" t="str">
        <f ca="1">IF(LEN(A18)=0,"",INDEX('Smelter Reference List'!$A:$A,MATCH($A18,'Smelter Reference List'!$E:$E,0)))</f>
        <v>Gold</v>
      </c>
      <c r="C18" s="298" t="str">
        <f ca="1">IF(LEN(A18)=0,"",INDEX('Smelter Reference List'!$C:$C,MATCH($A18,'Smelter Reference List'!$E:$E,0)))</f>
        <v>Boliden AB</v>
      </c>
      <c r="D18" s="292" t="str">
        <f ca="1">IF(ISERROR($S18),"",OFFSET('Smelter Reference List'!$C$4,$S18-4,0)&amp;"")</f>
        <v>Boliden AB</v>
      </c>
      <c r="E18" s="292" t="str">
        <f ca="1">IF(ISERROR($S18),"",OFFSET('Smelter Reference List'!$D$4,$S18-4,0)&amp;"")</f>
        <v>SWEDEN</v>
      </c>
      <c r="F18" s="292" t="str">
        <f ca="1">IF(ISERROR($S18),"",OFFSET('Smelter Reference List'!$E$4,$S18-4,0))</f>
        <v>CID000157</v>
      </c>
      <c r="G18" s="292" t="str">
        <f ca="1">IF(C18=$U$4,"Enter smelter details", IF(ISERROR($S18),"",OFFSET('Smelter Reference List'!$F$4,$S18-4,0)))</f>
        <v>CFSI</v>
      </c>
      <c r="H18" s="293">
        <f ca="1">IF(ISERROR($S18),"",OFFSET('Smelter Reference List'!$G$4,$S18-4,0))</f>
        <v>0</v>
      </c>
      <c r="I18" s="294" t="str">
        <f ca="1">IF(ISERROR($S18),"",OFFSET('Smelter Reference List'!$H$4,$S18-4,0))</f>
        <v>Skelleftehamn</v>
      </c>
      <c r="J18" s="294" t="str">
        <f ca="1">IF(ISERROR($S18),"",OFFSET('Smelter Reference List'!$I$4,$S18-4,0))</f>
        <v>Västerbotten</v>
      </c>
      <c r="K18" s="295"/>
      <c r="L18" s="295"/>
      <c r="M18" s="295"/>
      <c r="N18" s="295"/>
      <c r="O18" s="295"/>
      <c r="P18" s="295"/>
      <c r="Q18" s="296"/>
      <c r="R18" s="227"/>
      <c r="S18" s="228">
        <f ca="1">IF(C18="",NA(),MATCH($B18&amp;$C18,'Smelter Reference List'!$J:$J,0))</f>
        <v>30</v>
      </c>
      <c r="T18" s="229"/>
      <c r="U18" s="229">
        <f t="shared" ca="1" si="2"/>
        <v>0</v>
      </c>
      <c r="V18" s="229"/>
      <c r="W18" s="229"/>
      <c r="Y18" s="223" t="str">
        <f t="shared" ca="1" si="3"/>
        <v>GoldBoliden AB</v>
      </c>
    </row>
    <row r="19" spans="1:25" s="223" customFormat="1" ht="20.25">
      <c r="A19" s="291" t="s">
        <v>1224</v>
      </c>
      <c r="B19" s="292" t="str">
        <f ca="1">IF(LEN(A19)=0,"",INDEX('Smelter Reference List'!$A:$A,MATCH($A19,'Smelter Reference List'!$E:$E,0)))</f>
        <v>Gold</v>
      </c>
      <c r="C19" s="298" t="str">
        <f ca="1">IF(LEN(A19)=0,"",INDEX('Smelter Reference List'!$C:$C,MATCH($A19,'Smelter Reference List'!$E:$E,0)))</f>
        <v>C. Hafner GmbH + Co. KG</v>
      </c>
      <c r="D19" s="292" t="str">
        <f ca="1">IF(ISERROR($S19),"",OFFSET('Smelter Reference List'!$C$4,$S19-4,0)&amp;"")</f>
        <v>C. Hafner GmbH + Co. KG</v>
      </c>
      <c r="E19" s="292" t="str">
        <f ca="1">IF(ISERROR($S19),"",OFFSET('Smelter Reference List'!$D$4,$S19-4,0)&amp;"")</f>
        <v>GERMANY</v>
      </c>
      <c r="F19" s="292" t="str">
        <f ca="1">IF(ISERROR($S19),"",OFFSET('Smelter Reference List'!$E$4,$S19-4,0))</f>
        <v>CID000176</v>
      </c>
      <c r="G19" s="292" t="str">
        <f ca="1">IF(C19=$U$4,"Enter smelter details", IF(ISERROR($S19),"",OFFSET('Smelter Reference List'!$F$4,$S19-4,0)))</f>
        <v>CFSI</v>
      </c>
      <c r="H19" s="293">
        <f ca="1">IF(ISERROR($S19),"",OFFSET('Smelter Reference List'!$G$4,$S19-4,0))</f>
        <v>0</v>
      </c>
      <c r="I19" s="294" t="str">
        <f ca="1">IF(ISERROR($S19),"",OFFSET('Smelter Reference List'!$H$4,$S19-4,0))</f>
        <v>Pforzheim</v>
      </c>
      <c r="J19" s="294" t="str">
        <f ca="1">IF(ISERROR($S19),"",OFFSET('Smelter Reference List'!$I$4,$S19-4,0))</f>
        <v>Baden-Württemberg</v>
      </c>
      <c r="K19" s="295"/>
      <c r="L19" s="295"/>
      <c r="M19" s="295"/>
      <c r="N19" s="295"/>
      <c r="O19" s="295"/>
      <c r="P19" s="295"/>
      <c r="Q19" s="296"/>
      <c r="R19" s="227"/>
      <c r="S19" s="228">
        <f ca="1">IF(C19="",NA(),MATCH($B19&amp;$C19,'Smelter Reference List'!$J:$J,0))</f>
        <v>31</v>
      </c>
      <c r="T19" s="229"/>
      <c r="U19" s="229">
        <f t="shared" ca="1" si="2"/>
        <v>0</v>
      </c>
      <c r="V19" s="229"/>
      <c r="W19" s="229"/>
      <c r="Y19" s="223" t="str">
        <f t="shared" ca="1" si="3"/>
        <v>GoldC. Hafner GmbH + Co. KG</v>
      </c>
    </row>
    <row r="20" spans="1:25" s="223" customFormat="1" ht="20.25">
      <c r="A20" s="291" t="s">
        <v>1225</v>
      </c>
      <c r="B20" s="292" t="str">
        <f ca="1">IF(LEN(A20)=0,"",INDEX('Smelter Reference List'!$A:$A,MATCH($A20,'Smelter Reference List'!$E:$E,0)))</f>
        <v>Gold</v>
      </c>
      <c r="C20" s="298" t="str">
        <f ca="1">IF(LEN(A20)=0,"",INDEX('Smelter Reference List'!$C:$C,MATCH($A20,'Smelter Reference List'!$E:$E,0)))</f>
        <v>Caridad</v>
      </c>
      <c r="D20" s="292" t="str">
        <f ca="1">IF(ISERROR($S20),"",OFFSET('Smelter Reference List'!$C$4,$S20-4,0)&amp;"")</f>
        <v>Caridad</v>
      </c>
      <c r="E20" s="292" t="str">
        <f ca="1">IF(ISERROR($S20),"",OFFSET('Smelter Reference List'!$D$4,$S20-4,0)&amp;"")</f>
        <v>MEXICO</v>
      </c>
      <c r="F20" s="292" t="str">
        <f ca="1">IF(ISERROR($S20),"",OFFSET('Smelter Reference List'!$E$4,$S20-4,0))</f>
        <v>CID000180</v>
      </c>
      <c r="G20" s="292" t="str">
        <f ca="1">IF(C20=$U$4,"Enter smelter details", IF(ISERROR($S20),"",OFFSET('Smelter Reference List'!$F$4,$S20-4,0)))</f>
        <v>CFSI</v>
      </c>
      <c r="H20" s="293">
        <f ca="1">IF(ISERROR($S20),"",OFFSET('Smelter Reference List'!$G$4,$S20-4,0))</f>
        <v>0</v>
      </c>
      <c r="I20" s="294" t="str">
        <f ca="1">IF(ISERROR($S20),"",OFFSET('Smelter Reference List'!$H$4,$S20-4,0))</f>
        <v>Nacozari</v>
      </c>
      <c r="J20" s="294" t="str">
        <f ca="1">IF(ISERROR($S20),"",OFFSET('Smelter Reference List'!$I$4,$S20-4,0))</f>
        <v>Sonora</v>
      </c>
      <c r="K20" s="295"/>
      <c r="L20" s="295"/>
      <c r="M20" s="295"/>
      <c r="N20" s="295"/>
      <c r="O20" s="295"/>
      <c r="P20" s="295"/>
      <c r="Q20" s="296"/>
      <c r="R20" s="227"/>
      <c r="S20" s="228">
        <f ca="1">IF(C20="",NA(),MATCH($B20&amp;$C20,'Smelter Reference List'!$J:$J,0))</f>
        <v>32</v>
      </c>
      <c r="T20" s="229"/>
      <c r="U20" s="229">
        <f t="shared" ca="1" si="2"/>
        <v>0</v>
      </c>
      <c r="V20" s="229"/>
      <c r="W20" s="229"/>
      <c r="Y20" s="223" t="str">
        <f t="shared" ca="1" si="3"/>
        <v>GoldCaridad</v>
      </c>
    </row>
    <row r="21" spans="1:25" s="223" customFormat="1" ht="20.25">
      <c r="A21" s="291" t="s">
        <v>1226</v>
      </c>
      <c r="B21" s="292" t="str">
        <f ca="1">IF(LEN(A21)=0,"",INDEX('Smelter Reference List'!$A:$A,MATCH($A21,'Smelter Reference List'!$E:$E,0)))</f>
        <v>Gold</v>
      </c>
      <c r="C21" s="298" t="str">
        <f ca="1">IF(LEN(A21)=0,"",INDEX('Smelter Reference List'!$C:$C,MATCH($A21,'Smelter Reference List'!$E:$E,0)))</f>
        <v>CCR Refinery - Glencore Canada Corporation</v>
      </c>
      <c r="D21" s="292" t="str">
        <f ca="1">IF(ISERROR($S21),"",OFFSET('Smelter Reference List'!$C$4,$S21-4,0)&amp;"")</f>
        <v>CCR Refinery - Glencore Canada Corporation</v>
      </c>
      <c r="E21" s="292" t="str">
        <f ca="1">IF(ISERROR($S21),"",OFFSET('Smelter Reference List'!$D$4,$S21-4,0)&amp;"")</f>
        <v>CANADA</v>
      </c>
      <c r="F21" s="292" t="str">
        <f ca="1">IF(ISERROR($S21),"",OFFSET('Smelter Reference List'!$E$4,$S21-4,0))</f>
        <v>CID000185</v>
      </c>
      <c r="G21" s="292" t="str">
        <f ca="1">IF(C21=$U$4,"Enter smelter details", IF(ISERROR($S21),"",OFFSET('Smelter Reference List'!$F$4,$S21-4,0)))</f>
        <v>CFSI</v>
      </c>
      <c r="H21" s="293">
        <f ca="1">IF(ISERROR($S21),"",OFFSET('Smelter Reference List'!$G$4,$S21-4,0))</f>
        <v>0</v>
      </c>
      <c r="I21" s="294" t="str">
        <f ca="1">IF(ISERROR($S21),"",OFFSET('Smelter Reference List'!$H$4,$S21-4,0))</f>
        <v>Montréal</v>
      </c>
      <c r="J21" s="294" t="str">
        <f ca="1">IF(ISERROR($S21),"",OFFSET('Smelter Reference List'!$I$4,$S21-4,0))</f>
        <v>Quebec</v>
      </c>
      <c r="K21" s="295"/>
      <c r="L21" s="295"/>
      <c r="M21" s="295"/>
      <c r="N21" s="295"/>
      <c r="O21" s="295"/>
      <c r="P21" s="295"/>
      <c r="Q21" s="296"/>
      <c r="R21" s="227"/>
      <c r="S21" s="228">
        <f ca="1">IF(C21="",NA(),MATCH($B21&amp;$C21,'Smelter Reference List'!$J:$J,0))</f>
        <v>34</v>
      </c>
      <c r="T21" s="229"/>
      <c r="U21" s="229">
        <f t="shared" ca="1" si="2"/>
        <v>0</v>
      </c>
      <c r="V21" s="229"/>
      <c r="W21" s="229"/>
      <c r="Y21" s="223" t="str">
        <f t="shared" ca="1" si="3"/>
        <v>GoldCCR Refinery - Glencore Canada Corporation</v>
      </c>
    </row>
    <row r="22" spans="1:25" s="223" customFormat="1" ht="20.25">
      <c r="A22" s="291" t="s">
        <v>1227</v>
      </c>
      <c r="B22" s="292" t="str">
        <f ca="1">IF(LEN(A22)=0,"",INDEX('Smelter Reference List'!$A:$A,MATCH($A22,'Smelter Reference List'!$E:$E,0)))</f>
        <v>Gold</v>
      </c>
      <c r="C22" s="298" t="str">
        <f ca="1">IF(LEN(A22)=0,"",INDEX('Smelter Reference List'!$C:$C,MATCH($A22,'Smelter Reference List'!$E:$E,0)))</f>
        <v>Cendres + Métaux S.A.</v>
      </c>
      <c r="D22" s="292" t="str">
        <f ca="1">IF(ISERROR($S22),"",OFFSET('Smelter Reference List'!$C$4,$S22-4,0)&amp;"")</f>
        <v>Cendres + Métaux S.A.</v>
      </c>
      <c r="E22" s="292" t="str">
        <f ca="1">IF(ISERROR($S22),"",OFFSET('Smelter Reference List'!$D$4,$S22-4,0)&amp;"")</f>
        <v>SWITZERLAND</v>
      </c>
      <c r="F22" s="292" t="str">
        <f ca="1">IF(ISERROR($S22),"",OFFSET('Smelter Reference List'!$E$4,$S22-4,0))</f>
        <v>CID000189</v>
      </c>
      <c r="G22" s="292" t="str">
        <f ca="1">IF(C22=$U$4,"Enter smelter details", IF(ISERROR($S22),"",OFFSET('Smelter Reference List'!$F$4,$S22-4,0)))</f>
        <v>CFSI</v>
      </c>
      <c r="H22" s="293">
        <f ca="1">IF(ISERROR($S22),"",OFFSET('Smelter Reference List'!$G$4,$S22-4,0))</f>
        <v>0</v>
      </c>
      <c r="I22" s="294" t="str">
        <f ca="1">IF(ISERROR($S22),"",OFFSET('Smelter Reference List'!$H$4,$S22-4,0))</f>
        <v>Biel-Bienne</v>
      </c>
      <c r="J22" s="294" t="str">
        <f ca="1">IF(ISERROR($S22),"",OFFSET('Smelter Reference List'!$I$4,$S22-4,0))</f>
        <v>Bern</v>
      </c>
      <c r="K22" s="295"/>
      <c r="L22" s="295"/>
      <c r="M22" s="295"/>
      <c r="N22" s="295"/>
      <c r="O22" s="295"/>
      <c r="P22" s="295"/>
      <c r="Q22" s="296"/>
      <c r="R22" s="227"/>
      <c r="S22" s="228">
        <f ca="1">IF(C22="",NA(),MATCH($B22&amp;$C22,'Smelter Reference List'!$J:$J,0))</f>
        <v>36</v>
      </c>
      <c r="T22" s="229"/>
      <c r="U22" s="229">
        <f t="shared" ca="1" si="2"/>
        <v>0</v>
      </c>
      <c r="V22" s="229"/>
      <c r="W22" s="229"/>
      <c r="Y22" s="223" t="str">
        <f t="shared" ca="1" si="3"/>
        <v>GoldCendres + Métaux S.A.</v>
      </c>
    </row>
    <row r="23" spans="1:25" s="223" customFormat="1" ht="20.25">
      <c r="A23" s="291" t="s">
        <v>1312</v>
      </c>
      <c r="B23" s="292" t="str">
        <f ca="1">IF(LEN(A23)=0,"",INDEX('Smelter Reference List'!$A:$A,MATCH($A23,'Smelter Reference List'!$E:$E,0)))</f>
        <v>Gold</v>
      </c>
      <c r="C23" s="298" t="str">
        <f ca="1">IF(LEN(A23)=0,"",INDEX('Smelter Reference List'!$C:$C,MATCH($A23,'Smelter Reference List'!$E:$E,0)))</f>
        <v>Yunnan Copper Industry Co., Ltd.</v>
      </c>
      <c r="D23" s="292" t="str">
        <f ca="1">IF(ISERROR($S23),"",OFFSET('Smelter Reference List'!$C$4,$S23-4,0)&amp;"")</f>
        <v>Yunnan Copper Industry Co., Ltd.</v>
      </c>
      <c r="E23" s="292" t="str">
        <f ca="1">IF(ISERROR($S23),"",OFFSET('Smelter Reference List'!$D$4,$S23-4,0)&amp;"")</f>
        <v>CHINA</v>
      </c>
      <c r="F23" s="292" t="str">
        <f ca="1">IF(ISERROR($S23),"",OFFSET('Smelter Reference List'!$E$4,$S23-4,0))</f>
        <v>CID000197</v>
      </c>
      <c r="G23" s="292" t="str">
        <f ca="1">IF(C23=$U$4,"Enter smelter details", IF(ISERROR($S23),"",OFFSET('Smelter Reference List'!$F$4,$S23-4,0)))</f>
        <v>CFSI</v>
      </c>
      <c r="H23" s="293">
        <f ca="1">IF(ISERROR($S23),"",OFFSET('Smelter Reference List'!$G$4,$S23-4,0))</f>
        <v>0</v>
      </c>
      <c r="I23" s="294" t="str">
        <f ca="1">IF(ISERROR($S23),"",OFFSET('Smelter Reference List'!$H$4,$S23-4,0))</f>
        <v>Kunming</v>
      </c>
      <c r="J23" s="294" t="str">
        <f ca="1">IF(ISERROR($S23),"",OFFSET('Smelter Reference List'!$I$4,$S23-4,0))</f>
        <v>Yunnan</v>
      </c>
      <c r="K23" s="295"/>
      <c r="L23" s="295"/>
      <c r="M23" s="295"/>
      <c r="N23" s="295"/>
      <c r="O23" s="295"/>
      <c r="P23" s="295"/>
      <c r="Q23" s="296"/>
      <c r="R23" s="227"/>
      <c r="S23" s="228">
        <f ca="1">IF(C23="",NA(),MATCH($B23&amp;$C23,'Smelter Reference List'!$J:$J,0))</f>
        <v>231</v>
      </c>
      <c r="T23" s="229"/>
      <c r="U23" s="229">
        <f t="shared" ca="1" si="2"/>
        <v>0</v>
      </c>
      <c r="V23" s="229"/>
      <c r="W23" s="229"/>
      <c r="Y23" s="223" t="str">
        <f t="shared" ca="1" si="3"/>
        <v>GoldYunnan Copper Industry Co., Ltd.</v>
      </c>
    </row>
    <row r="24" spans="1:25" s="223" customFormat="1" ht="20.25">
      <c r="A24" s="291" t="s">
        <v>1315</v>
      </c>
      <c r="B24" s="292" t="str">
        <f ca="1">IF(LEN(A24)=0,"",INDEX('Smelter Reference List'!$A:$A,MATCH($A24,'Smelter Reference List'!$E:$E,0)))</f>
        <v>Tantalum</v>
      </c>
      <c r="C24" s="298" t="str">
        <f ca="1">IF(LEN(A24)=0,"",INDEX('Smelter Reference List'!$C:$C,MATCH($A24,'Smelter Reference List'!$E:$E,0)))</f>
        <v>Changsha South Tantalum Niobium Co., Ltd.</v>
      </c>
      <c r="D24" s="292" t="str">
        <f ca="1">IF(ISERROR($S24),"",OFFSET('Smelter Reference List'!$C$4,$S24-4,0)&amp;"")</f>
        <v>Changsha South Tantalum Niobium Co., Ltd.</v>
      </c>
      <c r="E24" s="292" t="str">
        <f ca="1">IF(ISERROR($S24),"",OFFSET('Smelter Reference List'!$D$4,$S24-4,0)&amp;"")</f>
        <v>CHINA</v>
      </c>
      <c r="F24" s="292" t="str">
        <f ca="1">IF(ISERROR($S24),"",OFFSET('Smelter Reference List'!$E$4,$S24-4,0))</f>
        <v>CID000211</v>
      </c>
      <c r="G24" s="292" t="str">
        <f ca="1">IF(C24=$U$4,"Enter smelter details", IF(ISERROR($S24),"",OFFSET('Smelter Reference List'!$F$4,$S24-4,0)))</f>
        <v>CFSI</v>
      </c>
      <c r="H24" s="293">
        <f ca="1">IF(ISERROR($S24),"",OFFSET('Smelter Reference List'!$G$4,$S24-4,0))</f>
        <v>0</v>
      </c>
      <c r="I24" s="294" t="str">
        <f ca="1">IF(ISERROR($S24),"",OFFSET('Smelter Reference List'!$H$4,$S24-4,0))</f>
        <v>Changsha</v>
      </c>
      <c r="J24" s="294" t="str">
        <f ca="1">IF(ISERROR($S24),"",OFFSET('Smelter Reference List'!$I$4,$S24-4,0))</f>
        <v>Hunan</v>
      </c>
      <c r="K24" s="295"/>
      <c r="L24" s="295"/>
      <c r="M24" s="295"/>
      <c r="N24" s="295"/>
      <c r="O24" s="295"/>
      <c r="P24" s="295"/>
      <c r="Q24" s="296"/>
      <c r="R24" s="227"/>
      <c r="S24" s="228">
        <f ca="1">IF(C24="",NA(),MATCH($B24&amp;$C24,'Smelter Reference List'!$J:$J,0))</f>
        <v>245</v>
      </c>
      <c r="T24" s="229"/>
      <c r="U24" s="229">
        <f t="shared" ca="1" si="2"/>
        <v>0</v>
      </c>
      <c r="V24" s="229"/>
      <c r="W24" s="229"/>
      <c r="Y24" s="223" t="str">
        <f t="shared" ca="1" si="3"/>
        <v>TantalumChangsha South Tantalum Niobium Co., Ltd.</v>
      </c>
    </row>
    <row r="25" spans="1:25" s="223" customFormat="1" ht="20.25">
      <c r="A25" s="291" t="s">
        <v>1386</v>
      </c>
      <c r="B25" s="292" t="str">
        <f ca="1">IF(LEN(A25)=0,"",INDEX('Smelter Reference List'!$A:$A,MATCH($A25,'Smelter Reference List'!$E:$E,0)))</f>
        <v>Tungsten</v>
      </c>
      <c r="C25" s="298" t="str">
        <f ca="1">IF(LEN(A25)=0,"",INDEX('Smelter Reference List'!$C:$C,MATCH($A25,'Smelter Reference List'!$E:$E,0)))</f>
        <v>Guangdong Xianglu Tungsten Co., Ltd.</v>
      </c>
      <c r="D25" s="292" t="str">
        <f ca="1">IF(ISERROR($S25),"",OFFSET('Smelter Reference List'!$C$4,$S25-4,0)&amp;"")</f>
        <v>Guangdong Xianglu Tungsten Co., Ltd.</v>
      </c>
      <c r="E25" s="292" t="str">
        <f ca="1">IF(ISERROR($S25),"",OFFSET('Smelter Reference List'!$D$4,$S25-4,0)&amp;"")</f>
        <v>CHINA</v>
      </c>
      <c r="F25" s="292" t="str">
        <f ca="1">IF(ISERROR($S25),"",OFFSET('Smelter Reference List'!$E$4,$S25-4,0))</f>
        <v>CID000218</v>
      </c>
      <c r="G25" s="292" t="str">
        <f ca="1">IF(C25=$U$4,"Enter smelter details", IF(ISERROR($S25),"",OFFSET('Smelter Reference List'!$F$4,$S25-4,0)))</f>
        <v>CFSI</v>
      </c>
      <c r="H25" s="293">
        <f ca="1">IF(ISERROR($S25),"",OFFSET('Smelter Reference List'!$G$4,$S25-4,0))</f>
        <v>0</v>
      </c>
      <c r="I25" s="294" t="str">
        <f ca="1">IF(ISERROR($S25),"",OFFSET('Smelter Reference List'!$H$4,$S25-4,0))</f>
        <v>Chaozhou</v>
      </c>
      <c r="J25" s="294" t="str">
        <f ca="1">IF(ISERROR($S25),"",OFFSET('Smelter Reference List'!$I$4,$S25-4,0))</f>
        <v>Guangdong</v>
      </c>
      <c r="K25" s="295"/>
      <c r="L25" s="295"/>
      <c r="M25" s="295"/>
      <c r="N25" s="295"/>
      <c r="O25" s="295"/>
      <c r="P25" s="295"/>
      <c r="Q25" s="296"/>
      <c r="R25" s="227"/>
      <c r="S25" s="228">
        <f ca="1">IF(C25="",NA(),MATCH($B25&amp;$C25,'Smelter Reference List'!$J:$J,0))</f>
        <v>487</v>
      </c>
      <c r="T25" s="229"/>
      <c r="U25" s="229">
        <f t="shared" ca="1" si="2"/>
        <v>0</v>
      </c>
      <c r="V25" s="229"/>
      <c r="W25" s="229"/>
      <c r="Y25" s="223" t="str">
        <f t="shared" ca="1" si="3"/>
        <v>TungstenGuangdong Xianglu Tungsten Co., Ltd.</v>
      </c>
    </row>
    <row r="26" spans="1:25" s="223" customFormat="1" ht="20.25">
      <c r="A26" s="291" t="s">
        <v>1228</v>
      </c>
      <c r="B26" s="292" t="str">
        <f ca="1">IF(LEN(A26)=0,"",INDEX('Smelter Reference List'!$A:$A,MATCH($A26,'Smelter Reference List'!$E:$E,0)))</f>
        <v>Gold</v>
      </c>
      <c r="C26" s="298" t="str">
        <f ca="1">IF(LEN(A26)=0,"",INDEX('Smelter Reference List'!$C:$C,MATCH($A26,'Smelter Reference List'!$E:$E,0)))</f>
        <v>Chimet S.p.A.</v>
      </c>
      <c r="D26" s="292" t="str">
        <f ca="1">IF(ISERROR($S26),"",OFFSET('Smelter Reference List'!$C$4,$S26-4,0)&amp;"")</f>
        <v>Chimet S.p.A.</v>
      </c>
      <c r="E26" s="292" t="str">
        <f ca="1">IF(ISERROR($S26),"",OFFSET('Smelter Reference List'!$D$4,$S26-4,0)&amp;"")</f>
        <v>ITALY</v>
      </c>
      <c r="F26" s="292" t="str">
        <f ca="1">IF(ISERROR($S26),"",OFFSET('Smelter Reference List'!$E$4,$S26-4,0))</f>
        <v>CID000233</v>
      </c>
      <c r="G26" s="292" t="str">
        <f ca="1">IF(C26=$U$4,"Enter smelter details", IF(ISERROR($S26),"",OFFSET('Smelter Reference List'!$F$4,$S26-4,0)))</f>
        <v>CFSI</v>
      </c>
      <c r="H26" s="293">
        <f ca="1">IF(ISERROR($S26),"",OFFSET('Smelter Reference List'!$G$4,$S26-4,0))</f>
        <v>0</v>
      </c>
      <c r="I26" s="294" t="str">
        <f ca="1">IF(ISERROR($S26),"",OFFSET('Smelter Reference List'!$H$4,$S26-4,0))</f>
        <v>Arezzo</v>
      </c>
      <c r="J26" s="294" t="str">
        <f ca="1">IF(ISERROR($S26),"",OFFSET('Smelter Reference List'!$I$4,$S26-4,0))</f>
        <v>Tuscany</v>
      </c>
      <c r="K26" s="295"/>
      <c r="L26" s="295"/>
      <c r="M26" s="295"/>
      <c r="N26" s="295"/>
      <c r="O26" s="295"/>
      <c r="P26" s="295"/>
      <c r="Q26" s="296"/>
      <c r="R26" s="227"/>
      <c r="S26" s="228">
        <f ca="1">IF(C26="",NA(),MATCH($B26&amp;$C26,'Smelter Reference List'!$J:$J,0))</f>
        <v>39</v>
      </c>
      <c r="T26" s="229"/>
      <c r="U26" s="229">
        <f t="shared" ca="1" si="2"/>
        <v>0</v>
      </c>
      <c r="V26" s="229"/>
      <c r="W26" s="229"/>
      <c r="Y26" s="223" t="str">
        <f t="shared" ca="1" si="3"/>
        <v>GoldChimet S.p.A.</v>
      </c>
    </row>
    <row r="27" spans="1:25" s="223" customFormat="1" ht="20.25">
      <c r="A27" s="291" t="s">
        <v>1339</v>
      </c>
      <c r="B27" s="292" t="str">
        <f ca="1">IF(LEN(A27)=0,"",INDEX('Smelter Reference List'!$A:$A,MATCH($A27,'Smelter Reference List'!$E:$E,0)))</f>
        <v>Tin</v>
      </c>
      <c r="C27" s="298" t="str">
        <f ca="1">IF(LEN(A27)=0,"",INDEX('Smelter Reference List'!$C:$C,MATCH($A27,'Smelter Reference List'!$E:$E,0)))</f>
        <v>Jiangxi Ketai Advanced Material Co., Ltd.</v>
      </c>
      <c r="D27" s="292" t="str">
        <f ca="1">IF(ISERROR($S27),"",OFFSET('Smelter Reference List'!$C$4,$S27-4,0)&amp;"")</f>
        <v>Jiangxi Ketai Advanced Material Co., Ltd.</v>
      </c>
      <c r="E27" s="292" t="str">
        <f ca="1">IF(ISERROR($S27),"",OFFSET('Smelter Reference List'!$D$4,$S27-4,0)&amp;"")</f>
        <v>CHINA</v>
      </c>
      <c r="F27" s="292" t="str">
        <f ca="1">IF(ISERROR($S27),"",OFFSET('Smelter Reference List'!$E$4,$S27-4,0))</f>
        <v>CID000244</v>
      </c>
      <c r="G27" s="292" t="str">
        <f ca="1">IF(C27=$U$4,"Enter smelter details", IF(ISERROR($S27),"",OFFSET('Smelter Reference List'!$F$4,$S27-4,0)))</f>
        <v>CFSI</v>
      </c>
      <c r="H27" s="293">
        <f ca="1">IF(ISERROR($S27),"",OFFSET('Smelter Reference List'!$G$4,$S27-4,0))</f>
        <v>0</v>
      </c>
      <c r="I27" s="294" t="str">
        <f ca="1">IF(ISERROR($S27),"",OFFSET('Smelter Reference List'!$H$4,$S27-4,0))</f>
        <v>Yichun</v>
      </c>
      <c r="J27" s="294" t="str">
        <f ca="1">IF(ISERROR($S27),"",OFFSET('Smelter Reference List'!$I$4,$S27-4,0))</f>
        <v>Jiangxi</v>
      </c>
      <c r="K27" s="295"/>
      <c r="L27" s="295"/>
      <c r="M27" s="295"/>
      <c r="N27" s="295"/>
      <c r="O27" s="295"/>
      <c r="P27" s="295"/>
      <c r="Q27" s="296"/>
      <c r="R27" s="227"/>
      <c r="S27" s="228">
        <f ca="1">IF(C27="",NA(),MATCH($B27&amp;$C27,'Smelter Reference List'!$J:$J,0))</f>
        <v>372</v>
      </c>
      <c r="T27" s="229"/>
      <c r="U27" s="229">
        <f t="shared" ca="1" si="2"/>
        <v>0</v>
      </c>
      <c r="V27" s="229"/>
      <c r="W27" s="229"/>
      <c r="Y27" s="223" t="str">
        <f t="shared" ca="1" si="3"/>
        <v>TinJiangxi Ketai Advanced Material Co., Ltd.</v>
      </c>
    </row>
    <row r="28" spans="1:25" s="223" customFormat="1" ht="20.25">
      <c r="A28" s="291" t="s">
        <v>1387</v>
      </c>
      <c r="B28" s="292" t="str">
        <f ca="1">IF(LEN(A28)=0,"",INDEX('Smelter Reference List'!$A:$A,MATCH($A28,'Smelter Reference List'!$E:$E,0)))</f>
        <v>Tungsten</v>
      </c>
      <c r="C28" s="298" t="str">
        <f ca="1">IF(LEN(A28)=0,"",INDEX('Smelter Reference List'!$C:$C,MATCH($A28,'Smelter Reference List'!$E:$E,0)))</f>
        <v>Chongyi Zhangyuan Tungsten Co., Ltd.</v>
      </c>
      <c r="D28" s="292" t="str">
        <f ca="1">IF(ISERROR($S28),"",OFFSET('Smelter Reference List'!$C$4,$S28-4,0)&amp;"")</f>
        <v>Chongyi Zhangyuan Tungsten Co., Ltd.</v>
      </c>
      <c r="E28" s="292" t="str">
        <f ca="1">IF(ISERROR($S28),"",OFFSET('Smelter Reference List'!$D$4,$S28-4,0)&amp;"")</f>
        <v>CHINA</v>
      </c>
      <c r="F28" s="292" t="str">
        <f ca="1">IF(ISERROR($S28),"",OFFSET('Smelter Reference List'!$E$4,$S28-4,0))</f>
        <v>CID000258</v>
      </c>
      <c r="G28" s="292" t="str">
        <f ca="1">IF(C28=$U$4,"Enter smelter details", IF(ISERROR($S28),"",OFFSET('Smelter Reference List'!$F$4,$S28-4,0)))</f>
        <v>CFSI</v>
      </c>
      <c r="H28" s="293">
        <f ca="1">IF(ISERROR($S28),"",OFFSET('Smelter Reference List'!$G$4,$S28-4,0))</f>
        <v>0</v>
      </c>
      <c r="I28" s="294" t="str">
        <f ca="1">IF(ISERROR($S28),"",OFFSET('Smelter Reference List'!$H$4,$S28-4,0))</f>
        <v>Ganzhou</v>
      </c>
      <c r="J28" s="294" t="str">
        <f ca="1">IF(ISERROR($S28),"",OFFSET('Smelter Reference List'!$I$4,$S28-4,0))</f>
        <v>Jiangxi</v>
      </c>
      <c r="K28" s="295"/>
      <c r="L28" s="295"/>
      <c r="M28" s="295"/>
      <c r="N28" s="295"/>
      <c r="O28" s="295"/>
      <c r="P28" s="295"/>
      <c r="Q28" s="296"/>
      <c r="R28" s="227"/>
      <c r="S28" s="228">
        <f ca="1">IF(C28="",NA(),MATCH($B28&amp;$C28,'Smelter Reference List'!$J:$J,0))</f>
        <v>477</v>
      </c>
      <c r="T28" s="229"/>
      <c r="U28" s="229">
        <f t="shared" ca="1" si="2"/>
        <v>0</v>
      </c>
      <c r="V28" s="229"/>
      <c r="W28" s="229"/>
      <c r="Y28" s="223" t="str">
        <f t="shared" ca="1" si="3"/>
        <v>TungstenChongyi Zhangyuan Tungsten Co., Ltd.</v>
      </c>
    </row>
    <row r="29" spans="1:25" s="223" customFormat="1" ht="20.25">
      <c r="A29" s="291" t="s">
        <v>1229</v>
      </c>
      <c r="B29" s="292" t="str">
        <f ca="1">IF(LEN(A29)=0,"",INDEX('Smelter Reference List'!$A:$A,MATCH($A29,'Smelter Reference List'!$E:$E,0)))</f>
        <v>Gold</v>
      </c>
      <c r="C29" s="298" t="str">
        <f ca="1">IF(LEN(A29)=0,"",INDEX('Smelter Reference List'!$C:$C,MATCH($A29,'Smelter Reference List'!$E:$E,0)))</f>
        <v>Chugai Mining</v>
      </c>
      <c r="D29" s="292" t="str">
        <f ca="1">IF(ISERROR($S29),"",OFFSET('Smelter Reference List'!$C$4,$S29-4,0)&amp;"")</f>
        <v>Chugai Mining</v>
      </c>
      <c r="E29" s="292" t="str">
        <f ca="1">IF(ISERROR($S29),"",OFFSET('Smelter Reference List'!$D$4,$S29-4,0)&amp;"")</f>
        <v>JAPAN</v>
      </c>
      <c r="F29" s="292" t="str">
        <f ca="1">IF(ISERROR($S29),"",OFFSET('Smelter Reference List'!$E$4,$S29-4,0))</f>
        <v>CID000264</v>
      </c>
      <c r="G29" s="292" t="str">
        <f ca="1">IF(C29=$U$4,"Enter smelter details", IF(ISERROR($S29),"",OFFSET('Smelter Reference List'!$F$4,$S29-4,0)))</f>
        <v>CFSI</v>
      </c>
      <c r="H29" s="293">
        <f ca="1">IF(ISERROR($S29),"",OFFSET('Smelter Reference List'!$G$4,$S29-4,0))</f>
        <v>0</v>
      </c>
      <c r="I29" s="294" t="str">
        <f ca="1">IF(ISERROR($S29),"",OFFSET('Smelter Reference List'!$H$4,$S29-4,0))</f>
        <v>Chiyoda</v>
      </c>
      <c r="J29" s="294" t="str">
        <f ca="1">IF(ISERROR($S29),"",OFFSET('Smelter Reference List'!$I$4,$S29-4,0))</f>
        <v>Yunnan</v>
      </c>
      <c r="K29" s="295"/>
      <c r="L29" s="295"/>
      <c r="M29" s="295"/>
      <c r="N29" s="295"/>
      <c r="O29" s="295"/>
      <c r="P29" s="295"/>
      <c r="Q29" s="296"/>
      <c r="R29" s="227"/>
      <c r="S29" s="228">
        <f ca="1">IF(C29="",NA(),MATCH($B29&amp;$C29,'Smelter Reference List'!$J:$J,0))</f>
        <v>42</v>
      </c>
      <c r="T29" s="229"/>
      <c r="U29" s="229">
        <f t="shared" ca="1" si="2"/>
        <v>0</v>
      </c>
      <c r="V29" s="229"/>
      <c r="W29" s="229"/>
      <c r="Y29" s="223" t="str">
        <f t="shared" ca="1" si="3"/>
        <v>GoldChugai Mining</v>
      </c>
    </row>
    <row r="30" spans="1:25" s="223" customFormat="1" ht="20.25">
      <c r="A30" s="291" t="s">
        <v>1340</v>
      </c>
      <c r="B30" s="292" t="str">
        <f ca="1">IF(LEN(A30)=0,"",INDEX('Smelter Reference List'!$A:$A,MATCH($A30,'Smelter Reference List'!$E:$E,0)))</f>
        <v>Tin</v>
      </c>
      <c r="C30" s="298" t="str">
        <f ca="1">IF(LEN(A30)=0,"",INDEX('Smelter Reference List'!$C:$C,MATCH($A30,'Smelter Reference List'!$E:$E,0)))</f>
        <v>CNMC (Guangxi) PGMA Co., Ltd.</v>
      </c>
      <c r="D30" s="292" t="str">
        <f ca="1">IF(ISERROR($S30),"",OFFSET('Smelter Reference List'!$C$4,$S30-4,0)&amp;"")</f>
        <v>CNMC (Guangxi) PGMA Co., Ltd.</v>
      </c>
      <c r="E30" s="292" t="str">
        <f ca="1">IF(ISERROR($S30),"",OFFSET('Smelter Reference List'!$D$4,$S30-4,0)&amp;"")</f>
        <v>CHINA</v>
      </c>
      <c r="F30" s="292" t="str">
        <f ca="1">IF(ISERROR($S30),"",OFFSET('Smelter Reference List'!$E$4,$S30-4,0))</f>
        <v>CID000278</v>
      </c>
      <c r="G30" s="292" t="str">
        <f ca="1">IF(C30=$U$4,"Enter smelter details", IF(ISERROR($S30),"",OFFSET('Smelter Reference List'!$F$4,$S30-4,0)))</f>
        <v>CFSI</v>
      </c>
      <c r="H30" s="293">
        <f ca="1">IF(ISERROR($S30),"",OFFSET('Smelter Reference List'!$G$4,$S30-4,0))</f>
        <v>0</v>
      </c>
      <c r="I30" s="294" t="str">
        <f ca="1">IF(ISERROR($S30),"",OFFSET('Smelter Reference List'!$H$4,$S30-4,0))</f>
        <v>Hezhou</v>
      </c>
      <c r="J30" s="294" t="str">
        <f ca="1">IF(ISERROR($S30),"",OFFSET('Smelter Reference List'!$I$4,$S30-4,0))</f>
        <v>Guangxi</v>
      </c>
      <c r="K30" s="295"/>
      <c r="L30" s="295"/>
      <c r="M30" s="295"/>
      <c r="N30" s="295"/>
      <c r="O30" s="295"/>
      <c r="P30" s="295"/>
      <c r="Q30" s="296"/>
      <c r="R30" s="227"/>
      <c r="S30" s="228">
        <f ca="1">IF(C30="",NA(),MATCH($B30&amp;$C30,'Smelter Reference List'!$J:$J,0))</f>
        <v>327</v>
      </c>
      <c r="T30" s="229"/>
      <c r="U30" s="229">
        <f t="shared" ca="1" si="2"/>
        <v>0</v>
      </c>
      <c r="V30" s="229"/>
      <c r="W30" s="229"/>
      <c r="Y30" s="223" t="str">
        <f t="shared" ca="1" si="3"/>
        <v>TinCNMC (Guangxi) PGMA Co., Ltd.</v>
      </c>
    </row>
    <row r="31" spans="1:25" s="223" customFormat="1" ht="20.25">
      <c r="A31" s="291" t="s">
        <v>1316</v>
      </c>
      <c r="B31" s="292" t="str">
        <f ca="1">IF(LEN(A31)=0,"",INDEX('Smelter Reference List'!$A:$A,MATCH($A31,'Smelter Reference List'!$E:$E,0)))</f>
        <v>Tantalum</v>
      </c>
      <c r="C31" s="298" t="str">
        <f ca="1">IF(LEN(A31)=0,"",INDEX('Smelter Reference List'!$C:$C,MATCH($A31,'Smelter Reference List'!$E:$E,0)))</f>
        <v>Conghua Tantalum and Niobium Smeltry</v>
      </c>
      <c r="D31" s="292" t="str">
        <f ca="1">IF(ISERROR($S31),"",OFFSET('Smelter Reference List'!$C$4,$S31-4,0)&amp;"")</f>
        <v>Conghua Tantalum and Niobium Smeltry</v>
      </c>
      <c r="E31" s="292" t="str">
        <f ca="1">IF(ISERROR($S31),"",OFFSET('Smelter Reference List'!$D$4,$S31-4,0)&amp;"")</f>
        <v>CHINA</v>
      </c>
      <c r="F31" s="292" t="str">
        <f ca="1">IF(ISERROR($S31),"",OFFSET('Smelter Reference List'!$E$4,$S31-4,0))</f>
        <v>CID000291</v>
      </c>
      <c r="G31" s="292" t="str">
        <f ca="1">IF(C31=$U$4,"Enter smelter details", IF(ISERROR($S31),"",OFFSET('Smelter Reference List'!$F$4,$S31-4,0)))</f>
        <v>CFSI</v>
      </c>
      <c r="H31" s="293">
        <f ca="1">IF(ISERROR($S31),"",OFFSET('Smelter Reference List'!$G$4,$S31-4,0))</f>
        <v>0</v>
      </c>
      <c r="I31" s="294" t="str">
        <f ca="1">IF(ISERROR($S31),"",OFFSET('Smelter Reference List'!$H$4,$S31-4,0))</f>
        <v>Conghua</v>
      </c>
      <c r="J31" s="294" t="str">
        <f ca="1">IF(ISERROR($S31),"",OFFSET('Smelter Reference List'!$I$4,$S31-4,0))</f>
        <v>Guangdong</v>
      </c>
      <c r="K31" s="295"/>
      <c r="L31" s="295"/>
      <c r="M31" s="295"/>
      <c r="N31" s="295"/>
      <c r="O31" s="295"/>
      <c r="P31" s="295"/>
      <c r="Q31" s="296"/>
      <c r="R31" s="227"/>
      <c r="S31" s="228">
        <f ca="1">IF(C31="",NA(),MATCH($B31&amp;$C31,'Smelter Reference List'!$J:$J,0))</f>
        <v>247</v>
      </c>
      <c r="T31" s="229"/>
      <c r="U31" s="229">
        <f t="shared" ca="1" si="2"/>
        <v>0</v>
      </c>
      <c r="V31" s="229"/>
      <c r="W31" s="229"/>
      <c r="Y31" s="223" t="str">
        <f t="shared" ca="1" si="3"/>
        <v>TantalumConghua Tantalum and Niobium Smeltry</v>
      </c>
    </row>
    <row r="32" spans="1:25" s="223" customFormat="1" ht="20.25">
      <c r="A32" s="291" t="s">
        <v>1341</v>
      </c>
      <c r="B32" s="292" t="str">
        <f ca="1">IF(LEN(A32)=0,"",INDEX('Smelter Reference List'!$A:$A,MATCH($A32,'Smelter Reference List'!$E:$E,0)))</f>
        <v>Tin</v>
      </c>
      <c r="C32" s="298" t="str">
        <f ca="1">IF(LEN(A32)=0,"",INDEX('Smelter Reference List'!$C:$C,MATCH($A32,'Smelter Reference List'!$E:$E,0)))</f>
        <v>Alpha</v>
      </c>
      <c r="D32" s="292" t="str">
        <f ca="1">IF(ISERROR($S32),"",OFFSET('Smelter Reference List'!$C$4,$S32-4,0)&amp;"")</f>
        <v>Alpha</v>
      </c>
      <c r="E32" s="292" t="str">
        <f ca="1">IF(ISERROR($S32),"",OFFSET('Smelter Reference List'!$D$4,$S32-4,0)&amp;"")</f>
        <v>UNITED STATES OF AMERICA</v>
      </c>
      <c r="F32" s="292" t="str">
        <f ca="1">IF(ISERROR($S32),"",OFFSET('Smelter Reference List'!$E$4,$S32-4,0))</f>
        <v>CID000292</v>
      </c>
      <c r="G32" s="292" t="str">
        <f ca="1">IF(C32=$U$4,"Enter smelter details", IF(ISERROR($S32),"",OFFSET('Smelter Reference List'!$F$4,$S32-4,0)))</f>
        <v>CFSI</v>
      </c>
      <c r="H32" s="293">
        <f ca="1">IF(ISERROR($S32),"",OFFSET('Smelter Reference List'!$G$4,$S32-4,0))</f>
        <v>0</v>
      </c>
      <c r="I32" s="294" t="str">
        <f ca="1">IF(ISERROR($S32),"",OFFSET('Smelter Reference List'!$H$4,$S32-4,0))</f>
        <v>Altoona</v>
      </c>
      <c r="J32" s="294" t="str">
        <f ca="1">IF(ISERROR($S32),"",OFFSET('Smelter Reference List'!$I$4,$S32-4,0))</f>
        <v>Pennsylvania</v>
      </c>
      <c r="K32" s="295"/>
      <c r="L32" s="295"/>
      <c r="M32" s="295"/>
      <c r="N32" s="295"/>
      <c r="O32" s="295"/>
      <c r="P32" s="295"/>
      <c r="Q32" s="296"/>
      <c r="R32" s="227"/>
      <c r="S32" s="228">
        <f ca="1">IF(C32="",NA(),MATCH($B32&amp;$C32,'Smelter Reference List'!$J:$J,0))</f>
        <v>311</v>
      </c>
      <c r="T32" s="229"/>
      <c r="U32" s="229">
        <f t="shared" ca="1" si="2"/>
        <v>0</v>
      </c>
      <c r="V32" s="229"/>
      <c r="W32" s="229"/>
      <c r="Y32" s="223" t="str">
        <f t="shared" ca="1" si="3"/>
        <v>TinAlpha</v>
      </c>
    </row>
    <row r="33" spans="1:25" s="223" customFormat="1" ht="20.25">
      <c r="A33" s="291" t="s">
        <v>1342</v>
      </c>
      <c r="B33" s="292" t="str">
        <f ca="1">IF(LEN(A33)=0,"",INDEX('Smelter Reference List'!$A:$A,MATCH($A33,'Smelter Reference List'!$E:$E,0)))</f>
        <v>Tin</v>
      </c>
      <c r="C33" s="298" t="str">
        <f ca="1">IF(LEN(A33)=0,"",INDEX('Smelter Reference List'!$C:$C,MATCH($A33,'Smelter Reference List'!$E:$E,0)))</f>
        <v>Cooperativa Metalurgica de Rondônia Ltda.</v>
      </c>
      <c r="D33" s="292" t="str">
        <f ca="1">IF(ISERROR($S33),"",OFFSET('Smelter Reference List'!$C$4,$S33-4,0)&amp;"")</f>
        <v>Cooperativa Metalurgica de Rondônia Ltda.</v>
      </c>
      <c r="E33" s="292" t="str">
        <f ca="1">IF(ISERROR($S33),"",OFFSET('Smelter Reference List'!$D$4,$S33-4,0)&amp;"")</f>
        <v>BRAZIL</v>
      </c>
      <c r="F33" s="292" t="str">
        <f ca="1">IF(ISERROR($S33),"",OFFSET('Smelter Reference List'!$E$4,$S33-4,0))</f>
        <v>CID000295</v>
      </c>
      <c r="G33" s="292" t="str">
        <f ca="1">IF(C33=$U$4,"Enter smelter details", IF(ISERROR($S33),"",OFFSET('Smelter Reference List'!$F$4,$S33-4,0)))</f>
        <v>CFSI</v>
      </c>
      <c r="H33" s="293">
        <f ca="1">IF(ISERROR($S33),"",OFFSET('Smelter Reference List'!$G$4,$S33-4,0))</f>
        <v>0</v>
      </c>
      <c r="I33" s="294" t="str">
        <f ca="1">IF(ISERROR($S33),"",OFFSET('Smelter Reference List'!$H$4,$S33-4,0))</f>
        <v>Ariquemes</v>
      </c>
      <c r="J33" s="294" t="str">
        <f ca="1">IF(ISERROR($S33),"",OFFSET('Smelter Reference List'!$I$4,$S33-4,0))</f>
        <v>Rondonia</v>
      </c>
      <c r="K33" s="295"/>
      <c r="L33" s="295"/>
      <c r="M33" s="295"/>
      <c r="N33" s="295"/>
      <c r="O33" s="295"/>
      <c r="P33" s="295"/>
      <c r="Q33" s="296"/>
      <c r="R33" s="227"/>
      <c r="S33" s="228">
        <f ca="1">IF(C33="",NA(),MATCH($B33&amp;$C33,'Smelter Reference List'!$J:$J,0))</f>
        <v>332</v>
      </c>
      <c r="T33" s="229"/>
      <c r="U33" s="229">
        <f t="shared" ca="1" si="2"/>
        <v>0</v>
      </c>
      <c r="V33" s="229"/>
      <c r="W33" s="229"/>
      <c r="Y33" s="223" t="str">
        <f t="shared" ca="1" si="3"/>
        <v>TinCooperativa Metalurgica de Rondônia Ltda.</v>
      </c>
    </row>
    <row r="34" spans="1:25" s="223" customFormat="1" ht="20.25">
      <c r="A34" s="291" t="s">
        <v>2629</v>
      </c>
      <c r="B34" s="292" t="str">
        <f ca="1">IF(LEN(A34)=0,"",INDEX('Smelter Reference List'!$A:$A,MATCH($A34,'Smelter Reference List'!$E:$E,0)))</f>
        <v>Tin</v>
      </c>
      <c r="C34" s="298" t="str">
        <f ca="1">IF(LEN(A34)=0,"",INDEX('Smelter Reference List'!$C:$C,MATCH($A34,'Smelter Reference List'!$E:$E,0)))</f>
        <v>CV Gita Pesona</v>
      </c>
      <c r="D34" s="292" t="str">
        <f ca="1">IF(ISERROR($S34),"",OFFSET('Smelter Reference List'!$C$4,$S34-4,0)&amp;"")</f>
        <v>CV Gita Pesona</v>
      </c>
      <c r="E34" s="292" t="str">
        <f ca="1">IF(ISERROR($S34),"",OFFSET('Smelter Reference List'!$D$4,$S34-4,0)&amp;"")</f>
        <v>INDONESIA</v>
      </c>
      <c r="F34" s="292" t="str">
        <f ca="1">IF(ISERROR($S34),"",OFFSET('Smelter Reference List'!$E$4,$S34-4,0))</f>
        <v>CID000306</v>
      </c>
      <c r="G34" s="292" t="str">
        <f ca="1">IF(C34=$U$4,"Enter smelter details", IF(ISERROR($S34),"",OFFSET('Smelter Reference List'!$F$4,$S34-4,0)))</f>
        <v>CFSI</v>
      </c>
      <c r="H34" s="293">
        <f ca="1">IF(ISERROR($S34),"",OFFSET('Smelter Reference List'!$G$4,$S34-4,0))</f>
        <v>0</v>
      </c>
      <c r="I34" s="294" t="str">
        <f ca="1">IF(ISERROR($S34),"",OFFSET('Smelter Reference List'!$H$4,$S34-4,0))</f>
        <v>Sungailiat</v>
      </c>
      <c r="J34" s="294" t="str">
        <f ca="1">IF(ISERROR($S34),"",OFFSET('Smelter Reference List'!$I$4,$S34-4,0))</f>
        <v>Bangka</v>
      </c>
      <c r="K34" s="295"/>
      <c r="L34" s="295"/>
      <c r="M34" s="295"/>
      <c r="N34" s="295"/>
      <c r="O34" s="295"/>
      <c r="P34" s="295"/>
      <c r="Q34" s="296"/>
      <c r="R34" s="227"/>
      <c r="S34" s="228">
        <f ca="1">IF(C34="",NA(),MATCH($B34&amp;$C34,'Smelter Reference List'!$J:$J,0))</f>
        <v>336</v>
      </c>
      <c r="T34" s="229"/>
      <c r="U34" s="229">
        <f t="shared" ca="1" si="2"/>
        <v>0</v>
      </c>
      <c r="V34" s="229"/>
      <c r="W34" s="229"/>
      <c r="Y34" s="223" t="str">
        <f t="shared" ca="1" si="3"/>
        <v>TinCV Gita Pesona</v>
      </c>
    </row>
    <row r="35" spans="1:25" s="223" customFormat="1" ht="20.25">
      <c r="A35" s="291" t="s">
        <v>2630</v>
      </c>
      <c r="B35" s="292" t="str">
        <f ca="1">IF(LEN(A35)=0,"",INDEX('Smelter Reference List'!$A:$A,MATCH($A35,'Smelter Reference List'!$E:$E,0)))</f>
        <v>Tin</v>
      </c>
      <c r="C35" s="298" t="str">
        <f ca="1">IF(LEN(A35)=0,"",INDEX('Smelter Reference List'!$C:$C,MATCH($A35,'Smelter Reference List'!$E:$E,0)))</f>
        <v>PT Justindo</v>
      </c>
      <c r="D35" s="292" t="str">
        <f ca="1">IF(ISERROR($S35),"",OFFSET('Smelter Reference List'!$C$4,$S35-4,0)&amp;"")</f>
        <v>PT Justindo</v>
      </c>
      <c r="E35" s="292" t="str">
        <f ca="1">IF(ISERROR($S35),"",OFFSET('Smelter Reference List'!$D$4,$S35-4,0)&amp;"")</f>
        <v>INDONESIA</v>
      </c>
      <c r="F35" s="292" t="str">
        <f ca="1">IF(ISERROR($S35),"",OFFSET('Smelter Reference List'!$E$4,$S35-4,0))</f>
        <v>CID000307</v>
      </c>
      <c r="G35" s="292" t="str">
        <f ca="1">IF(C35=$U$4,"Enter smelter details", IF(ISERROR($S35),"",OFFSET('Smelter Reference List'!$F$4,$S35-4,0)))</f>
        <v>CFSI</v>
      </c>
      <c r="H35" s="293">
        <f ca="1">IF(ISERROR($S35),"",OFFSET('Smelter Reference List'!$G$4,$S35-4,0))</f>
        <v>0</v>
      </c>
      <c r="I35" s="294" t="str">
        <f ca="1">IF(ISERROR($S35),"",OFFSET('Smelter Reference List'!$H$4,$S35-4,0))</f>
        <v>Kabupaten</v>
      </c>
      <c r="J35" s="294" t="str">
        <f ca="1">IF(ISERROR($S35),"",OFFSET('Smelter Reference List'!$I$4,$S35-4,0))</f>
        <v>Bangka</v>
      </c>
      <c r="K35" s="295"/>
      <c r="L35" s="295"/>
      <c r="M35" s="295"/>
      <c r="N35" s="295"/>
      <c r="O35" s="295"/>
      <c r="P35" s="295"/>
      <c r="Q35" s="296"/>
      <c r="R35" s="227"/>
      <c r="S35" s="228">
        <f ca="1">IF(C35="",NA(),MATCH($B35&amp;$C35,'Smelter Reference List'!$J:$J,0))</f>
        <v>414</v>
      </c>
      <c r="T35" s="229"/>
      <c r="U35" s="229">
        <f t="shared" ca="1" si="2"/>
        <v>0</v>
      </c>
      <c r="V35" s="229"/>
      <c r="W35" s="229"/>
      <c r="Y35" s="223" t="str">
        <f t="shared" ca="1" si="3"/>
        <v>TinPT Justindo</v>
      </c>
    </row>
    <row r="36" spans="1:25" s="223" customFormat="1" ht="20.25">
      <c r="A36" s="291" t="s">
        <v>2631</v>
      </c>
      <c r="B36" s="292" t="str">
        <f ca="1">IF(LEN(A36)=0,"",INDEX('Smelter Reference List'!$A:$A,MATCH($A36,'Smelter Reference List'!$E:$E,0)))</f>
        <v>Tin</v>
      </c>
      <c r="C36" s="298" t="str">
        <f ca="1">IF(LEN(A36)=0,"",INDEX('Smelter Reference List'!$C:$C,MATCH($A36,'Smelter Reference List'!$E:$E,0)))</f>
        <v>PT Aries Kencana Sejahtera</v>
      </c>
      <c r="D36" s="292" t="str">
        <f ca="1">IF(ISERROR($S36),"",OFFSET('Smelter Reference List'!$C$4,$S36-4,0)&amp;"")</f>
        <v>PT Aries Kencana Sejahtera</v>
      </c>
      <c r="E36" s="292" t="str">
        <f ca="1">IF(ISERROR($S36),"",OFFSET('Smelter Reference List'!$D$4,$S36-4,0)&amp;"")</f>
        <v>INDONESIA</v>
      </c>
      <c r="F36" s="292" t="str">
        <f ca="1">IF(ISERROR($S36),"",OFFSET('Smelter Reference List'!$E$4,$S36-4,0))</f>
        <v>CID000309</v>
      </c>
      <c r="G36" s="292" t="str">
        <f ca="1">IF(C36=$U$4,"Enter smelter details", IF(ISERROR($S36),"",OFFSET('Smelter Reference List'!$F$4,$S36-4,0)))</f>
        <v>CFSI</v>
      </c>
      <c r="H36" s="293">
        <f ca="1">IF(ISERROR($S36),"",OFFSET('Smelter Reference List'!$G$4,$S36-4,0))</f>
        <v>0</v>
      </c>
      <c r="I36" s="294" t="str">
        <f ca="1">IF(ISERROR($S36),"",OFFSET('Smelter Reference List'!$H$4,$S36-4,0))</f>
        <v>Pemali</v>
      </c>
      <c r="J36" s="294" t="str">
        <f ca="1">IF(ISERROR($S36),"",OFFSET('Smelter Reference List'!$I$4,$S36-4,0))</f>
        <v>Bangka</v>
      </c>
      <c r="K36" s="295"/>
      <c r="L36" s="295"/>
      <c r="M36" s="295"/>
      <c r="N36" s="295"/>
      <c r="O36" s="295"/>
      <c r="P36" s="295"/>
      <c r="Q36" s="296"/>
      <c r="R36" s="227"/>
      <c r="S36" s="228">
        <f ca="1">IF(C36="",NA(),MATCH($B36&amp;$C36,'Smelter Reference List'!$J:$J,0))</f>
        <v>400</v>
      </c>
      <c r="T36" s="229"/>
      <c r="U36" s="229">
        <f t="shared" ca="1" si="2"/>
        <v>0</v>
      </c>
      <c r="V36" s="229"/>
      <c r="W36" s="229"/>
      <c r="Y36" s="223" t="str">
        <f t="shared" ca="1" si="3"/>
        <v>TinPT Aries Kencana Sejahtera</v>
      </c>
    </row>
    <row r="37" spans="1:25" s="223" customFormat="1" ht="20.25">
      <c r="A37" s="291" t="s">
        <v>1343</v>
      </c>
      <c r="B37" s="292" t="str">
        <f ca="1">IF(LEN(A37)=0,"",INDEX('Smelter Reference List'!$A:$A,MATCH($A37,'Smelter Reference List'!$E:$E,0)))</f>
        <v>Tin</v>
      </c>
      <c r="C37" s="298" t="str">
        <f ca="1">IF(LEN(A37)=0,"",INDEX('Smelter Reference List'!$C:$C,MATCH($A37,'Smelter Reference List'!$E:$E,0)))</f>
        <v>CV Serumpun Sebalai</v>
      </c>
      <c r="D37" s="292" t="str">
        <f ca="1">IF(ISERROR($S37),"",OFFSET('Smelter Reference List'!$C$4,$S37-4,0)&amp;"")</f>
        <v>CV Serumpun Sebalai</v>
      </c>
      <c r="E37" s="292" t="str">
        <f ca="1">IF(ISERROR($S37),"",OFFSET('Smelter Reference List'!$D$4,$S37-4,0)&amp;"")</f>
        <v>INDONESIA</v>
      </c>
      <c r="F37" s="292" t="str">
        <f ca="1">IF(ISERROR($S37),"",OFFSET('Smelter Reference List'!$E$4,$S37-4,0))</f>
        <v>CID000313</v>
      </c>
      <c r="G37" s="292" t="str">
        <f ca="1">IF(C37=$U$4,"Enter smelter details", IF(ISERROR($S37),"",OFFSET('Smelter Reference List'!$F$4,$S37-4,0)))</f>
        <v>CFSI</v>
      </c>
      <c r="H37" s="293">
        <f ca="1">IF(ISERROR($S37),"",OFFSET('Smelter Reference List'!$G$4,$S37-4,0))</f>
        <v>0</v>
      </c>
      <c r="I37" s="294" t="str">
        <f ca="1">IF(ISERROR($S37),"",OFFSET('Smelter Reference List'!$H$4,$S37-4,0))</f>
        <v>Pangkalan</v>
      </c>
      <c r="J37" s="294" t="str">
        <f ca="1">IF(ISERROR($S37),"",OFFSET('Smelter Reference List'!$I$4,$S37-4,0))</f>
        <v>Bangka</v>
      </c>
      <c r="K37" s="295"/>
      <c r="L37" s="295"/>
      <c r="M37" s="295"/>
      <c r="N37" s="295"/>
      <c r="O37" s="295"/>
      <c r="P37" s="295"/>
      <c r="Q37" s="296"/>
      <c r="R37" s="227"/>
      <c r="S37" s="228">
        <f ca="1">IF(C37="",NA(),MATCH($B37&amp;$C37,'Smelter Reference List'!$J:$J,0))</f>
        <v>339</v>
      </c>
      <c r="T37" s="229"/>
      <c r="U37" s="229">
        <f t="shared" ca="1" si="2"/>
        <v>0</v>
      </c>
      <c r="V37" s="229"/>
      <c r="W37" s="229"/>
      <c r="Y37" s="223" t="str">
        <f t="shared" ca="1" si="3"/>
        <v>TinCV Serumpun Sebalai</v>
      </c>
    </row>
    <row r="38" spans="1:25" s="223" customFormat="1" ht="20.25">
      <c r="A38" s="291" t="s">
        <v>1344</v>
      </c>
      <c r="B38" s="292" t="str">
        <f ca="1">IF(LEN(A38)=0,"",INDEX('Smelter Reference List'!$A:$A,MATCH($A38,'Smelter Reference List'!$E:$E,0)))</f>
        <v>Tin</v>
      </c>
      <c r="C38" s="298" t="str">
        <f ca="1">IF(LEN(A38)=0,"",INDEX('Smelter Reference List'!$C:$C,MATCH($A38,'Smelter Reference List'!$E:$E,0)))</f>
        <v>CV United Smelting</v>
      </c>
      <c r="D38" s="292" t="str">
        <f ca="1">IF(ISERROR($S38),"",OFFSET('Smelter Reference List'!$C$4,$S38-4,0)&amp;"")</f>
        <v>CV United Smelting</v>
      </c>
      <c r="E38" s="292" t="str">
        <f ca="1">IF(ISERROR($S38),"",OFFSET('Smelter Reference List'!$D$4,$S38-4,0)&amp;"")</f>
        <v>INDONESIA</v>
      </c>
      <c r="F38" s="292" t="str">
        <f ca="1">IF(ISERROR($S38),"",OFFSET('Smelter Reference List'!$E$4,$S38-4,0))</f>
        <v>CID000315</v>
      </c>
      <c r="G38" s="292" t="str">
        <f ca="1">IF(C38=$U$4,"Enter smelter details", IF(ISERROR($S38),"",OFFSET('Smelter Reference List'!$F$4,$S38-4,0)))</f>
        <v>CFSI</v>
      </c>
      <c r="H38" s="293">
        <f ca="1">IF(ISERROR($S38),"",OFFSET('Smelter Reference List'!$G$4,$S38-4,0))</f>
        <v>0</v>
      </c>
      <c r="I38" s="294" t="str">
        <f ca="1">IF(ISERROR($S38),"",OFFSET('Smelter Reference List'!$H$4,$S38-4,0))</f>
        <v>Pangkal Pinang</v>
      </c>
      <c r="J38" s="294" t="str">
        <f ca="1">IF(ISERROR($S38),"",OFFSET('Smelter Reference List'!$I$4,$S38-4,0))</f>
        <v>Bangka</v>
      </c>
      <c r="K38" s="295"/>
      <c r="L38" s="295"/>
      <c r="M38" s="295"/>
      <c r="N38" s="295"/>
      <c r="O38" s="295"/>
      <c r="P38" s="295"/>
      <c r="Q38" s="296"/>
      <c r="R38" s="227"/>
      <c r="S38" s="228">
        <f ca="1">IF(C38="",NA(),MATCH($B38&amp;$C38,'Smelter Reference List'!$J:$J,0))</f>
        <v>341</v>
      </c>
      <c r="T38" s="229"/>
      <c r="U38" s="229">
        <f t="shared" ca="1" si="2"/>
        <v>0</v>
      </c>
      <c r="V38" s="229"/>
      <c r="W38" s="229"/>
      <c r="Y38" s="223" t="str">
        <f t="shared" ca="1" si="3"/>
        <v>TinCV United Smelting</v>
      </c>
    </row>
    <row r="39" spans="1:25" s="223" customFormat="1" ht="20.25">
      <c r="A39" s="291" t="s">
        <v>1230</v>
      </c>
      <c r="B39" s="292" t="str">
        <f ca="1">IF(LEN(A39)=0,"",INDEX('Smelter Reference List'!$A:$A,MATCH($A39,'Smelter Reference List'!$E:$E,0)))</f>
        <v>Gold</v>
      </c>
      <c r="C39" s="298" t="str">
        <f ca="1">IF(LEN(A39)=0,"",INDEX('Smelter Reference List'!$C:$C,MATCH($A39,'Smelter Reference List'!$E:$E,0)))</f>
        <v>Daejin Indus Co., Ltd.</v>
      </c>
      <c r="D39" s="292" t="str">
        <f ca="1">IF(ISERROR($S39),"",OFFSET('Smelter Reference List'!$C$4,$S39-4,0)&amp;"")</f>
        <v>Daejin Indus Co., Ltd.</v>
      </c>
      <c r="E39" s="292" t="str">
        <f ca="1">IF(ISERROR($S39),"",OFFSET('Smelter Reference List'!$D$4,$S39-4,0)&amp;"")</f>
        <v>KOREA (REPUBLIC OF)</v>
      </c>
      <c r="F39" s="292" t="str">
        <f ca="1">IF(ISERROR($S39),"",OFFSET('Smelter Reference List'!$E$4,$S39-4,0))</f>
        <v>CID000328</v>
      </c>
      <c r="G39" s="292" t="str">
        <f ca="1">IF(C39=$U$4,"Enter smelter details", IF(ISERROR($S39),"",OFFSET('Smelter Reference List'!$F$4,$S39-4,0)))</f>
        <v>CFSI</v>
      </c>
      <c r="H39" s="293">
        <f ca="1">IF(ISERROR($S39),"",OFFSET('Smelter Reference List'!$G$4,$S39-4,0))</f>
        <v>0</v>
      </c>
      <c r="I39" s="294" t="str">
        <f ca="1">IF(ISERROR($S39),"",OFFSET('Smelter Reference List'!$H$4,$S39-4,0))</f>
        <v>Namdong-gu</v>
      </c>
      <c r="J39" s="294" t="str">
        <f ca="1">IF(ISERROR($S39),"",OFFSET('Smelter Reference List'!$I$4,$S39-4,0))</f>
        <v>Incheon</v>
      </c>
      <c r="K39" s="295"/>
      <c r="L39" s="295"/>
      <c r="M39" s="295"/>
      <c r="N39" s="295"/>
      <c r="O39" s="295"/>
      <c r="P39" s="295"/>
      <c r="Q39" s="296"/>
      <c r="R39" s="227"/>
      <c r="S39" s="228">
        <f ca="1">IF(C39="",NA(),MATCH($B39&amp;$C39,'Smelter Reference List'!$J:$J,0))</f>
        <v>43</v>
      </c>
      <c r="T39" s="229"/>
      <c r="U39" s="229">
        <f t="shared" ca="1" si="2"/>
        <v>0</v>
      </c>
      <c r="V39" s="229"/>
      <c r="W39" s="229"/>
      <c r="Y39" s="223" t="str">
        <f t="shared" ca="1" si="3"/>
        <v>GoldDaejin Indus Co., Ltd.</v>
      </c>
    </row>
    <row r="40" spans="1:25" s="223" customFormat="1" ht="20.25">
      <c r="A40" s="291" t="s">
        <v>1232</v>
      </c>
      <c r="B40" s="292" t="str">
        <f ca="1">IF(LEN(A40)=0,"",INDEX('Smelter Reference List'!$A:$A,MATCH($A40,'Smelter Reference List'!$E:$E,0)))</f>
        <v>Gold</v>
      </c>
      <c r="C40" s="298" t="str">
        <f ca="1">IF(LEN(A40)=0,"",INDEX('Smelter Reference List'!$C:$C,MATCH($A40,'Smelter Reference List'!$E:$E,0)))</f>
        <v>Daye Non-Ferrous Metals Mining Ltd.</v>
      </c>
      <c r="D40" s="292" t="str">
        <f ca="1">IF(ISERROR($S40),"",OFFSET('Smelter Reference List'!$C$4,$S40-4,0)&amp;"")</f>
        <v>Daye Non-Ferrous Metals Mining Ltd.</v>
      </c>
      <c r="E40" s="292" t="str">
        <f ca="1">IF(ISERROR($S40),"",OFFSET('Smelter Reference List'!$D$4,$S40-4,0)&amp;"")</f>
        <v>CHINA</v>
      </c>
      <c r="F40" s="292" t="str">
        <f ca="1">IF(ISERROR($S40),"",OFFSET('Smelter Reference List'!$E$4,$S40-4,0))</f>
        <v>CID000343</v>
      </c>
      <c r="G40" s="292" t="str">
        <f ca="1">IF(C40=$U$4,"Enter smelter details", IF(ISERROR($S40),"",OFFSET('Smelter Reference List'!$F$4,$S40-4,0)))</f>
        <v>CFSI</v>
      </c>
      <c r="H40" s="293">
        <f ca="1">IF(ISERROR($S40),"",OFFSET('Smelter Reference List'!$G$4,$S40-4,0))</f>
        <v>0</v>
      </c>
      <c r="I40" s="294" t="str">
        <f ca="1">IF(ISERROR($S40),"",OFFSET('Smelter Reference List'!$H$4,$S40-4,0))</f>
        <v>Huangshi</v>
      </c>
      <c r="J40" s="294" t="str">
        <f ca="1">IF(ISERROR($S40),"",OFFSET('Smelter Reference List'!$I$4,$S40-4,0))</f>
        <v>Huabei</v>
      </c>
      <c r="K40" s="295"/>
      <c r="L40" s="295"/>
      <c r="M40" s="295"/>
      <c r="N40" s="295"/>
      <c r="O40" s="295"/>
      <c r="P40" s="295"/>
      <c r="Q40" s="296"/>
      <c r="R40" s="227"/>
      <c r="S40" s="228">
        <f ca="1">IF(C40="",NA(),MATCH($B40&amp;$C40,'Smelter Reference List'!$J:$J,0))</f>
        <v>45</v>
      </c>
      <c r="T40" s="229"/>
      <c r="U40" s="229">
        <f t="shared" ca="1" si="2"/>
        <v>0</v>
      </c>
      <c r="V40" s="229"/>
      <c r="W40" s="229"/>
      <c r="Y40" s="223" t="str">
        <f t="shared" ca="1" si="3"/>
        <v>GoldDaye Non-Ferrous Metals Mining Ltd.</v>
      </c>
    </row>
    <row r="41" spans="1:25" s="223" customFormat="1" ht="20.25">
      <c r="A41" s="291" t="s">
        <v>1388</v>
      </c>
      <c r="B41" s="292" t="str">
        <f ca="1">IF(LEN(A41)=0,"",INDEX('Smelter Reference List'!$A:$A,MATCH($A41,'Smelter Reference List'!$E:$E,0)))</f>
        <v>Tungsten</v>
      </c>
      <c r="C41" s="298" t="str">
        <f ca="1">IF(LEN(A41)=0,"",INDEX('Smelter Reference List'!$C:$C,MATCH($A41,'Smelter Reference List'!$E:$E,0)))</f>
        <v>Dayu Weiliang Tungsten Co., Ltd.</v>
      </c>
      <c r="D41" s="292" t="str">
        <f ca="1">IF(ISERROR($S41),"",OFFSET('Smelter Reference List'!$C$4,$S41-4,0)&amp;"")</f>
        <v>Dayu Weiliang Tungsten Co., Ltd.</v>
      </c>
      <c r="E41" s="292" t="str">
        <f ca="1">IF(ISERROR($S41),"",OFFSET('Smelter Reference List'!$D$4,$S41-4,0)&amp;"")</f>
        <v>CHINA</v>
      </c>
      <c r="F41" s="292" t="str">
        <f ca="1">IF(ISERROR($S41),"",OFFSET('Smelter Reference List'!$E$4,$S41-4,0))</f>
        <v>CID000345</v>
      </c>
      <c r="G41" s="292" t="str">
        <f ca="1">IF(C41=$U$4,"Enter smelter details", IF(ISERROR($S41),"",OFFSET('Smelter Reference List'!$F$4,$S41-4,0)))</f>
        <v>CFSI</v>
      </c>
      <c r="H41" s="293">
        <f ca="1">IF(ISERROR($S41),"",OFFSET('Smelter Reference List'!$G$4,$S41-4,0))</f>
        <v>0</v>
      </c>
      <c r="I41" s="294" t="str">
        <f ca="1">IF(ISERROR($S41),"",OFFSET('Smelter Reference List'!$H$4,$S41-4,0))</f>
        <v>Ganzhou</v>
      </c>
      <c r="J41" s="294" t="str">
        <f ca="1">IF(ISERROR($S41),"",OFFSET('Smelter Reference List'!$I$4,$S41-4,0))</f>
        <v>Jiangxi</v>
      </c>
      <c r="K41" s="295"/>
      <c r="L41" s="295"/>
      <c r="M41" s="295"/>
      <c r="N41" s="295"/>
      <c r="O41" s="295"/>
      <c r="P41" s="295"/>
      <c r="Q41" s="296"/>
      <c r="R41" s="227"/>
      <c r="S41" s="228">
        <f ca="1">IF(C41="",NA(),MATCH($B41&amp;$C41,'Smelter Reference List'!$J:$J,0))</f>
        <v>479</v>
      </c>
      <c r="T41" s="229"/>
      <c r="U41" s="229">
        <f t="shared" ca="1" si="2"/>
        <v>0</v>
      </c>
      <c r="V41" s="229"/>
      <c r="W41" s="229"/>
      <c r="Y41" s="223" t="str">
        <f t="shared" ca="1" si="3"/>
        <v>TungstenDayu Weiliang Tungsten Co., Ltd.</v>
      </c>
    </row>
    <row r="42" spans="1:25" s="223" customFormat="1" ht="20.25">
      <c r="A42" s="291" t="s">
        <v>1233</v>
      </c>
      <c r="B42" s="292" t="str">
        <f ca="1">IF(LEN(A42)=0,"",INDEX('Smelter Reference List'!$A:$A,MATCH($A42,'Smelter Reference List'!$E:$E,0)))</f>
        <v>Gold</v>
      </c>
      <c r="C42" s="298" t="str">
        <f ca="1">IF(LEN(A42)=0,"",INDEX('Smelter Reference List'!$C:$C,MATCH($A42,'Smelter Reference List'!$E:$E,0)))</f>
        <v>DSC (Do Sung Corporation)</v>
      </c>
      <c r="D42" s="292" t="str">
        <f ca="1">IF(ISERROR($S42),"",OFFSET('Smelter Reference List'!$C$4,$S42-4,0)&amp;"")</f>
        <v>DSC (Do Sung Corporation)</v>
      </c>
      <c r="E42" s="292" t="str">
        <f ca="1">IF(ISERROR($S42),"",OFFSET('Smelter Reference List'!$D$4,$S42-4,0)&amp;"")</f>
        <v>KOREA (REPUBLIC OF)</v>
      </c>
      <c r="F42" s="292" t="str">
        <f ca="1">IF(ISERROR($S42),"",OFFSET('Smelter Reference List'!$E$4,$S42-4,0))</f>
        <v>CID000359</v>
      </c>
      <c r="G42" s="292" t="str">
        <f ca="1">IF(C42=$U$4,"Enter smelter details", IF(ISERROR($S42),"",OFFSET('Smelter Reference List'!$F$4,$S42-4,0)))</f>
        <v>CFSI</v>
      </c>
      <c r="H42" s="293">
        <f ca="1">IF(ISERROR($S42),"",OFFSET('Smelter Reference List'!$G$4,$S42-4,0))</f>
        <v>0</v>
      </c>
      <c r="I42" s="294" t="str">
        <f ca="1">IF(ISERROR($S42),"",OFFSET('Smelter Reference List'!$H$4,$S42-4,0))</f>
        <v>Gimpo</v>
      </c>
      <c r="J42" s="294" t="str">
        <f ca="1">IF(ISERROR($S42),"",OFFSET('Smelter Reference List'!$I$4,$S42-4,0))</f>
        <v>Gyeonggi</v>
      </c>
      <c r="K42" s="295"/>
      <c r="L42" s="295"/>
      <c r="M42" s="295"/>
      <c r="N42" s="295"/>
      <c r="O42" s="295"/>
      <c r="P42" s="295"/>
      <c r="Q42" s="296"/>
      <c r="R42" s="227"/>
      <c r="S42" s="228">
        <f ca="1">IF(C42="",NA(),MATCH($B42&amp;$C42,'Smelter Reference List'!$J:$J,0))</f>
        <v>55</v>
      </c>
      <c r="T42" s="229"/>
      <c r="U42" s="229">
        <f t="shared" ca="1" si="2"/>
        <v>0</v>
      </c>
      <c r="V42" s="229"/>
      <c r="W42" s="229"/>
      <c r="Y42" s="223" t="str">
        <f t="shared" ca="1" si="3"/>
        <v>GoldDSC (Do Sung Corporation)</v>
      </c>
    </row>
    <row r="43" spans="1:25" s="223" customFormat="1" ht="20.25">
      <c r="A43" s="291" t="s">
        <v>1235</v>
      </c>
      <c r="B43" s="292" t="str">
        <f ca="1">IF(LEN(A43)=0,"",INDEX('Smelter Reference List'!$A:$A,MATCH($A43,'Smelter Reference List'!$E:$E,0)))</f>
        <v>Gold</v>
      </c>
      <c r="C43" s="298" t="str">
        <f ca="1">IF(LEN(A43)=0,"",INDEX('Smelter Reference List'!$C:$C,MATCH($A43,'Smelter Reference List'!$E:$E,0)))</f>
        <v>DODUCO GmbH</v>
      </c>
      <c r="D43" s="292" t="str">
        <f ca="1">IF(ISERROR($S43),"",OFFSET('Smelter Reference List'!$C$4,$S43-4,0)&amp;"")</f>
        <v>DODUCO GmbH</v>
      </c>
      <c r="E43" s="292" t="str">
        <f ca="1">IF(ISERROR($S43),"",OFFSET('Smelter Reference List'!$D$4,$S43-4,0)&amp;"")</f>
        <v>GERMANY</v>
      </c>
      <c r="F43" s="292" t="str">
        <f ca="1">IF(ISERROR($S43),"",OFFSET('Smelter Reference List'!$E$4,$S43-4,0))</f>
        <v>CID000362</v>
      </c>
      <c r="G43" s="292" t="str">
        <f ca="1">IF(C43=$U$4,"Enter smelter details", IF(ISERROR($S43),"",OFFSET('Smelter Reference List'!$F$4,$S43-4,0)))</f>
        <v>CFSI</v>
      </c>
      <c r="H43" s="293">
        <f ca="1">IF(ISERROR($S43),"",OFFSET('Smelter Reference List'!$G$4,$S43-4,0))</f>
        <v>0</v>
      </c>
      <c r="I43" s="294" t="str">
        <f ca="1">IF(ISERROR($S43),"",OFFSET('Smelter Reference List'!$H$4,$S43-4,0))</f>
        <v>Pforzheim</v>
      </c>
      <c r="J43" s="294" t="str">
        <f ca="1">IF(ISERROR($S43),"",OFFSET('Smelter Reference List'!$I$4,$S43-4,0))</f>
        <v>Baden-Württemberg</v>
      </c>
      <c r="K43" s="295"/>
      <c r="L43" s="295"/>
      <c r="M43" s="295"/>
      <c r="N43" s="295"/>
      <c r="O43" s="295"/>
      <c r="P43" s="295"/>
      <c r="Q43" s="296"/>
      <c r="R43" s="227"/>
      <c r="S43" s="228">
        <f ca="1">IF(C43="",NA(),MATCH($B43&amp;$C43,'Smelter Reference List'!$J:$J,0))</f>
        <v>49</v>
      </c>
      <c r="T43" s="229"/>
      <c r="U43" s="229">
        <f t="shared" ca="1" si="2"/>
        <v>0</v>
      </c>
      <c r="V43" s="229"/>
      <c r="W43" s="229"/>
      <c r="Y43" s="223" t="str">
        <f t="shared" ca="1" si="3"/>
        <v>GoldDODUCO GmbH</v>
      </c>
    </row>
    <row r="44" spans="1:25" s="223" customFormat="1" ht="20.25">
      <c r="A44" s="291" t="s">
        <v>1236</v>
      </c>
      <c r="B44" s="292" t="str">
        <f ca="1">IF(LEN(A44)=0,"",INDEX('Smelter Reference List'!$A:$A,MATCH($A44,'Smelter Reference List'!$E:$E,0)))</f>
        <v>Gold</v>
      </c>
      <c r="C44" s="298" t="str">
        <f ca="1">IF(LEN(A44)=0,"",INDEX('Smelter Reference List'!$C:$C,MATCH($A44,'Smelter Reference List'!$E:$E,0)))</f>
        <v>Dowa</v>
      </c>
      <c r="D44" s="292" t="str">
        <f ca="1">IF(ISERROR($S44),"",OFFSET('Smelter Reference List'!$C$4,$S44-4,0)&amp;"")</f>
        <v>Dowa</v>
      </c>
      <c r="E44" s="292" t="str">
        <f ca="1">IF(ISERROR($S44),"",OFFSET('Smelter Reference List'!$D$4,$S44-4,0)&amp;"")</f>
        <v>JAPAN</v>
      </c>
      <c r="F44" s="292" t="str">
        <f ca="1">IF(ISERROR($S44),"",OFFSET('Smelter Reference List'!$E$4,$S44-4,0))</f>
        <v>CID000401</v>
      </c>
      <c r="G44" s="292" t="str">
        <f ca="1">IF(C44=$U$4,"Enter smelter details", IF(ISERROR($S44),"",OFFSET('Smelter Reference List'!$F$4,$S44-4,0)))</f>
        <v>CFSI</v>
      </c>
      <c r="H44" s="293">
        <f ca="1">IF(ISERROR($S44),"",OFFSET('Smelter Reference List'!$G$4,$S44-4,0))</f>
        <v>0</v>
      </c>
      <c r="I44" s="294" t="str">
        <f ca="1">IF(ISERROR($S44),"",OFFSET('Smelter Reference List'!$H$4,$S44-4,0))</f>
        <v>Kosaka</v>
      </c>
      <c r="J44" s="294" t="str">
        <f ca="1">IF(ISERROR($S44),"",OFFSET('Smelter Reference List'!$I$4,$S44-4,0))</f>
        <v>Akita</v>
      </c>
      <c r="K44" s="295"/>
      <c r="L44" s="295"/>
      <c r="M44" s="295"/>
      <c r="N44" s="295"/>
      <c r="O44" s="295"/>
      <c r="P44" s="295"/>
      <c r="Q44" s="296"/>
      <c r="R44" s="227"/>
      <c r="S44" s="228">
        <f ca="1">IF(C44="",NA(),MATCH($B44&amp;$C44,'Smelter Reference List'!$J:$J,0))</f>
        <v>51</v>
      </c>
      <c r="T44" s="229"/>
      <c r="U44" s="229">
        <f t="shared" ca="1" si="2"/>
        <v>0</v>
      </c>
      <c r="V44" s="229"/>
      <c r="W44" s="229"/>
      <c r="Y44" s="223" t="str">
        <f t="shared" ca="1" si="3"/>
        <v>GoldDowa</v>
      </c>
    </row>
    <row r="45" spans="1:25" s="223" customFormat="1" ht="20.25">
      <c r="A45" s="291" t="s">
        <v>2680</v>
      </c>
      <c r="B45" s="292" t="str">
        <f ca="1">IF(LEN(A45)=0,"",INDEX('Smelter Reference List'!$A:$A,MATCH($A45,'Smelter Reference List'!$E:$E,0)))</f>
        <v>Tin</v>
      </c>
      <c r="C45" s="298" t="str">
        <f ca="1">IF(LEN(A45)=0,"",INDEX('Smelter Reference List'!$C:$C,MATCH($A45,'Smelter Reference List'!$E:$E,0)))</f>
        <v>Dowa</v>
      </c>
      <c r="D45" s="292" t="str">
        <f ca="1">IF(ISERROR($S45),"",OFFSET('Smelter Reference List'!$C$4,$S45-4,0)&amp;"")</f>
        <v>Dowa</v>
      </c>
      <c r="E45" s="292" t="str">
        <f ca="1">IF(ISERROR($S45),"",OFFSET('Smelter Reference List'!$D$4,$S45-4,0)&amp;"")</f>
        <v>JAPAN</v>
      </c>
      <c r="F45" s="292" t="str">
        <f ca="1">IF(ISERROR($S45),"",OFFSET('Smelter Reference List'!$E$4,$S45-4,0))</f>
        <v>CID000402</v>
      </c>
      <c r="G45" s="292" t="str">
        <f ca="1">IF(C45=$U$4,"Enter smelter details", IF(ISERROR($S45),"",OFFSET('Smelter Reference List'!$F$4,$S45-4,0)))</f>
        <v>CFSI</v>
      </c>
      <c r="H45" s="293">
        <f ca="1">IF(ISERROR($S45),"",OFFSET('Smelter Reference List'!$G$4,$S45-4,0))</f>
        <v>0</v>
      </c>
      <c r="I45" s="294" t="str">
        <f ca="1">IF(ISERROR($S45),"",OFFSET('Smelter Reference List'!$H$4,$S45-4,0))</f>
        <v>Kosaka</v>
      </c>
      <c r="J45" s="294" t="str">
        <f ca="1">IF(ISERROR($S45),"",OFFSET('Smelter Reference List'!$I$4,$S45-4,0))</f>
        <v>Akita</v>
      </c>
      <c r="K45" s="295"/>
      <c r="L45" s="295"/>
      <c r="M45" s="295"/>
      <c r="N45" s="295"/>
      <c r="O45" s="295"/>
      <c r="P45" s="295"/>
      <c r="Q45" s="296"/>
      <c r="R45" s="227"/>
      <c r="S45" s="228">
        <f ca="1">IF(C45="",NA(),MATCH($B45&amp;$C45,'Smelter Reference List'!$J:$J,0))</f>
        <v>343</v>
      </c>
      <c r="T45" s="229"/>
      <c r="U45" s="229">
        <f t="shared" ca="1" si="2"/>
        <v>0</v>
      </c>
      <c r="V45" s="229"/>
      <c r="W45" s="229"/>
      <c r="Y45" s="223" t="str">
        <f t="shared" ca="1" si="3"/>
        <v>TinDowa</v>
      </c>
    </row>
    <row r="46" spans="1:25" s="223" customFormat="1" ht="20.25">
      <c r="A46" s="291" t="s">
        <v>1317</v>
      </c>
      <c r="B46" s="292" t="str">
        <f ca="1">IF(LEN(A46)=0,"",INDEX('Smelter Reference List'!$A:$A,MATCH($A46,'Smelter Reference List'!$E:$E,0)))</f>
        <v>Tantalum</v>
      </c>
      <c r="C46" s="298" t="str">
        <f ca="1">IF(LEN(A46)=0,"",INDEX('Smelter Reference List'!$C:$C,MATCH($A46,'Smelter Reference List'!$E:$E,0)))</f>
        <v>Duoluoshan</v>
      </c>
      <c r="D46" s="292" t="str">
        <f ca="1">IF(ISERROR($S46),"",OFFSET('Smelter Reference List'!$C$4,$S46-4,0)&amp;"")</f>
        <v>Duoluoshan</v>
      </c>
      <c r="E46" s="292" t="str">
        <f ca="1">IF(ISERROR($S46),"",OFFSET('Smelter Reference List'!$D$4,$S46-4,0)&amp;"")</f>
        <v>CHINA</v>
      </c>
      <c r="F46" s="292" t="str">
        <f ca="1">IF(ISERROR($S46),"",OFFSET('Smelter Reference List'!$E$4,$S46-4,0))</f>
        <v>CID000410</v>
      </c>
      <c r="G46" s="292" t="str">
        <f ca="1">IF(C46=$U$4,"Enter smelter details", IF(ISERROR($S46),"",OFFSET('Smelter Reference List'!$F$4,$S46-4,0)))</f>
        <v>CFSI</v>
      </c>
      <c r="H46" s="293">
        <f ca="1">IF(ISERROR($S46),"",OFFSET('Smelter Reference List'!$G$4,$S46-4,0))</f>
        <v>0</v>
      </c>
      <c r="I46" s="294" t="str">
        <f ca="1">IF(ISERROR($S46),"",OFFSET('Smelter Reference List'!$H$4,$S46-4,0))</f>
        <v>Sihui City</v>
      </c>
      <c r="J46" s="294" t="str">
        <f ca="1">IF(ISERROR($S46),"",OFFSET('Smelter Reference List'!$I$4,$S46-4,0))</f>
        <v>Guangdong</v>
      </c>
      <c r="K46" s="295"/>
      <c r="L46" s="295"/>
      <c r="M46" s="295"/>
      <c r="N46" s="295"/>
      <c r="O46" s="295"/>
      <c r="P46" s="295"/>
      <c r="Q46" s="296"/>
      <c r="R46" s="227"/>
      <c r="S46" s="228">
        <f ca="1">IF(C46="",NA(),MATCH($B46&amp;$C46,'Smelter Reference List'!$J:$J,0))</f>
        <v>250</v>
      </c>
      <c r="T46" s="229"/>
      <c r="U46" s="229">
        <f t="shared" ca="1" si="2"/>
        <v>0</v>
      </c>
      <c r="V46" s="229"/>
      <c r="W46" s="229"/>
      <c r="Y46" s="223" t="str">
        <f t="shared" ca="1" si="3"/>
        <v>TantalumDuoluoshan</v>
      </c>
    </row>
    <row r="47" spans="1:25" s="223" customFormat="1" ht="20.25">
      <c r="A47" s="291" t="s">
        <v>715</v>
      </c>
      <c r="B47" s="292" t="str">
        <f ca="1">IF(LEN(A47)=0,"",INDEX('Smelter Reference List'!$A:$A,MATCH($A47,'Smelter Reference List'!$E:$E,0)))</f>
        <v>Gold</v>
      </c>
      <c r="C47" s="298" t="str">
        <f ca="1">IF(LEN(A47)=0,"",INDEX('Smelter Reference List'!$C:$C,MATCH($A47,'Smelter Reference List'!$E:$E,0)))</f>
        <v>Eco-System Recycling Co., Ltd.</v>
      </c>
      <c r="D47" s="292" t="str">
        <f ca="1">IF(ISERROR($S47),"",OFFSET('Smelter Reference List'!$C$4,$S47-4,0)&amp;"")</f>
        <v>Eco-System Recycling Co., Ltd.</v>
      </c>
      <c r="E47" s="292" t="str">
        <f ca="1">IF(ISERROR($S47),"",OFFSET('Smelter Reference List'!$D$4,$S47-4,0)&amp;"")</f>
        <v>JAPAN</v>
      </c>
      <c r="F47" s="292" t="str">
        <f ca="1">IF(ISERROR($S47),"",OFFSET('Smelter Reference List'!$E$4,$S47-4,0))</f>
        <v>CID000425</v>
      </c>
      <c r="G47" s="292" t="str">
        <f ca="1">IF(C47=$U$4,"Enter smelter details", IF(ISERROR($S47),"",OFFSET('Smelter Reference List'!$F$4,$S47-4,0)))</f>
        <v>CFSI</v>
      </c>
      <c r="H47" s="293">
        <f ca="1">IF(ISERROR($S47),"",OFFSET('Smelter Reference List'!$G$4,$S47-4,0))</f>
        <v>0</v>
      </c>
      <c r="I47" s="294" t="str">
        <f ca="1">IF(ISERROR($S47),"",OFFSET('Smelter Reference List'!$H$4,$S47-4,0))</f>
        <v>Honjo</v>
      </c>
      <c r="J47" s="294" t="str">
        <f ca="1">IF(ISERROR($S47),"",OFFSET('Smelter Reference List'!$I$4,$S47-4,0))</f>
        <v>Saitama</v>
      </c>
      <c r="K47" s="295"/>
      <c r="L47" s="295"/>
      <c r="M47" s="295"/>
      <c r="N47" s="295"/>
      <c r="O47" s="295"/>
      <c r="P47" s="295"/>
      <c r="Q47" s="296"/>
      <c r="R47" s="227"/>
      <c r="S47" s="228">
        <f ca="1">IF(C47="",NA(),MATCH($B47&amp;$C47,'Smelter Reference List'!$J:$J,0))</f>
        <v>56</v>
      </c>
      <c r="T47" s="229"/>
      <c r="U47" s="229">
        <f t="shared" ca="1" si="2"/>
        <v>0</v>
      </c>
      <c r="V47" s="229"/>
      <c r="W47" s="229"/>
      <c r="Y47" s="223" t="str">
        <f t="shared" ca="1" si="3"/>
        <v>GoldEco-System Recycling Co., Ltd.</v>
      </c>
    </row>
    <row r="48" spans="1:25" s="223" customFormat="1" ht="20.25">
      <c r="A48" s="291" t="s">
        <v>1345</v>
      </c>
      <c r="B48" s="292" t="str">
        <f ca="1">IF(LEN(A48)=0,"",INDEX('Smelter Reference List'!$A:$A,MATCH($A48,'Smelter Reference List'!$E:$E,0)))</f>
        <v>Tin</v>
      </c>
      <c r="C48" s="298" t="str">
        <f ca="1">IF(LEN(A48)=0,"",INDEX('Smelter Reference List'!$C:$C,MATCH($A48,'Smelter Reference List'!$E:$E,0)))</f>
        <v>EM Vinto</v>
      </c>
      <c r="D48" s="292" t="str">
        <f ca="1">IF(ISERROR($S48),"",OFFSET('Smelter Reference List'!$C$4,$S48-4,0)&amp;"")</f>
        <v>EM Vinto</v>
      </c>
      <c r="E48" s="292" t="str">
        <f ca="1">IF(ISERROR($S48),"",OFFSET('Smelter Reference List'!$D$4,$S48-4,0)&amp;"")</f>
        <v>BOLIVIA (PLURINATIONAL STATE OF)</v>
      </c>
      <c r="F48" s="292" t="str">
        <f ca="1">IF(ISERROR($S48),"",OFFSET('Smelter Reference List'!$E$4,$S48-4,0))</f>
        <v>CID000438</v>
      </c>
      <c r="G48" s="292" t="str">
        <f ca="1">IF(C48=$U$4,"Enter smelter details", IF(ISERROR($S48),"",OFFSET('Smelter Reference List'!$F$4,$S48-4,0)))</f>
        <v>CFSI</v>
      </c>
      <c r="H48" s="293">
        <f ca="1">IF(ISERROR($S48),"",OFFSET('Smelter Reference List'!$G$4,$S48-4,0))</f>
        <v>0</v>
      </c>
      <c r="I48" s="294" t="str">
        <f ca="1">IF(ISERROR($S48),"",OFFSET('Smelter Reference List'!$H$4,$S48-4,0))</f>
        <v>Oruro</v>
      </c>
      <c r="J48" s="294" t="str">
        <f ca="1">IF(ISERROR($S48),"",OFFSET('Smelter Reference List'!$I$4,$S48-4,0))</f>
        <v>Cercado</v>
      </c>
      <c r="K48" s="295"/>
      <c r="L48" s="295"/>
      <c r="M48" s="295"/>
      <c r="N48" s="295"/>
      <c r="O48" s="295"/>
      <c r="P48" s="295"/>
      <c r="Q48" s="296"/>
      <c r="R48" s="227"/>
      <c r="S48" s="228">
        <f ca="1">IF(C48="",NA(),MATCH($B48&amp;$C48,'Smelter Reference List'!$J:$J,0))</f>
        <v>347</v>
      </c>
      <c r="T48" s="229"/>
      <c r="U48" s="229">
        <f t="shared" ca="1" si="2"/>
        <v>0</v>
      </c>
      <c r="V48" s="229"/>
      <c r="W48" s="229"/>
      <c r="Y48" s="223" t="str">
        <f t="shared" ca="1" si="3"/>
        <v>TinEM Vinto</v>
      </c>
    </row>
    <row r="49" spans="1:25" s="223" customFormat="1" ht="20.25">
      <c r="A49" s="291" t="s">
        <v>1347</v>
      </c>
      <c r="B49" s="292" t="str">
        <f ca="1">IF(LEN(A49)=0,"",INDEX('Smelter Reference List'!$A:$A,MATCH($A49,'Smelter Reference List'!$E:$E,0)))</f>
        <v>Tin</v>
      </c>
      <c r="C49" s="298" t="str">
        <f ca="1">IF(LEN(A49)=0,"",INDEX('Smelter Reference List'!$C:$C,MATCH($A49,'Smelter Reference List'!$E:$E,0)))</f>
        <v>Estanho de Rondônia S.A.</v>
      </c>
      <c r="D49" s="292" t="str">
        <f ca="1">IF(ISERROR($S49),"",OFFSET('Smelter Reference List'!$C$4,$S49-4,0)&amp;"")</f>
        <v>Estanho de Rondônia S.A.</v>
      </c>
      <c r="E49" s="292" t="str">
        <f ca="1">IF(ISERROR($S49),"",OFFSET('Smelter Reference List'!$D$4,$S49-4,0)&amp;"")</f>
        <v>BRAZIL</v>
      </c>
      <c r="F49" s="292" t="str">
        <f ca="1">IF(ISERROR($S49),"",OFFSET('Smelter Reference List'!$E$4,$S49-4,0))</f>
        <v>CID000448</v>
      </c>
      <c r="G49" s="292" t="str">
        <f ca="1">IF(C49=$U$4,"Enter smelter details", IF(ISERROR($S49),"",OFFSET('Smelter Reference List'!$F$4,$S49-4,0)))</f>
        <v>CFSI</v>
      </c>
      <c r="H49" s="293">
        <f ca="1">IF(ISERROR($S49),"",OFFSET('Smelter Reference List'!$G$4,$S49-4,0))</f>
        <v>0</v>
      </c>
      <c r="I49" s="294" t="str">
        <f ca="1">IF(ISERROR($S49),"",OFFSET('Smelter Reference List'!$H$4,$S49-4,0))</f>
        <v>Ariquemes</v>
      </c>
      <c r="J49" s="294" t="str">
        <f ca="1">IF(ISERROR($S49),"",OFFSET('Smelter Reference List'!$I$4,$S49-4,0))</f>
        <v>Rondônia</v>
      </c>
      <c r="K49" s="295"/>
      <c r="L49" s="295"/>
      <c r="M49" s="295"/>
      <c r="N49" s="295"/>
      <c r="O49" s="295"/>
      <c r="P49" s="295"/>
      <c r="Q49" s="296"/>
      <c r="R49" s="227"/>
      <c r="S49" s="228">
        <f ca="1">IF(C49="",NA(),MATCH($B49&amp;$C49,'Smelter Reference List'!$J:$J,0))</f>
        <v>351</v>
      </c>
      <c r="T49" s="229"/>
      <c r="U49" s="229">
        <f t="shared" ca="1" si="2"/>
        <v>0</v>
      </c>
      <c r="V49" s="229"/>
      <c r="W49" s="229"/>
      <c r="Y49" s="223" t="str">
        <f t="shared" ca="1" si="3"/>
        <v>TinEstanho de Rondônia S.A.</v>
      </c>
    </row>
    <row r="50" spans="1:25" s="223" customFormat="1" ht="20.25">
      <c r="A50" s="291" t="s">
        <v>1318</v>
      </c>
      <c r="B50" s="292" t="str">
        <f ca="1">IF(LEN(A50)=0,"",INDEX('Smelter Reference List'!$A:$A,MATCH($A50,'Smelter Reference List'!$E:$E,0)))</f>
        <v>Tantalum</v>
      </c>
      <c r="C50" s="298" t="str">
        <f ca="1">IF(LEN(A50)=0,"",INDEX('Smelter Reference List'!$C:$C,MATCH($A50,'Smelter Reference List'!$E:$E,0)))</f>
        <v>Exotech Inc.</v>
      </c>
      <c r="D50" s="292" t="str">
        <f ca="1">IF(ISERROR($S50),"",OFFSET('Smelter Reference List'!$C$4,$S50-4,0)&amp;"")</f>
        <v>Exotech Inc.</v>
      </c>
      <c r="E50" s="292" t="str">
        <f ca="1">IF(ISERROR($S50),"",OFFSET('Smelter Reference List'!$D$4,$S50-4,0)&amp;"")</f>
        <v>UNITED STATES OF AMERICA</v>
      </c>
      <c r="F50" s="292" t="str">
        <f ca="1">IF(ISERROR($S50),"",OFFSET('Smelter Reference List'!$E$4,$S50-4,0))</f>
        <v>CID000456</v>
      </c>
      <c r="G50" s="292" t="str">
        <f ca="1">IF(C50=$U$4,"Enter smelter details", IF(ISERROR($S50),"",OFFSET('Smelter Reference List'!$F$4,$S50-4,0)))</f>
        <v>CFSI</v>
      </c>
      <c r="H50" s="293">
        <f ca="1">IF(ISERROR($S50),"",OFFSET('Smelter Reference List'!$G$4,$S50-4,0))</f>
        <v>0</v>
      </c>
      <c r="I50" s="294" t="str">
        <f ca="1">IF(ISERROR($S50),"",OFFSET('Smelter Reference List'!$H$4,$S50-4,0))</f>
        <v>Pompano Beach</v>
      </c>
      <c r="J50" s="294" t="str">
        <f ca="1">IF(ISERROR($S50),"",OFFSET('Smelter Reference List'!$I$4,$S50-4,0))</f>
        <v>Florida</v>
      </c>
      <c r="K50" s="295"/>
      <c r="L50" s="295"/>
      <c r="M50" s="295"/>
      <c r="N50" s="295"/>
      <c r="O50" s="295"/>
      <c r="P50" s="295"/>
      <c r="Q50" s="296"/>
      <c r="R50" s="227"/>
      <c r="S50" s="228">
        <f ca="1">IF(C50="",NA(),MATCH($B50&amp;$C50,'Smelter Reference List'!$J:$J,0))</f>
        <v>252</v>
      </c>
      <c r="T50" s="229"/>
      <c r="U50" s="229">
        <f t="shared" ca="1" si="2"/>
        <v>0</v>
      </c>
      <c r="V50" s="229"/>
      <c r="W50" s="229"/>
      <c r="Y50" s="223" t="str">
        <f t="shared" ca="1" si="3"/>
        <v>TantalumExotech Inc.</v>
      </c>
    </row>
    <row r="51" spans="1:25" s="223" customFormat="1" ht="20.25">
      <c r="A51" s="291" t="s">
        <v>1319</v>
      </c>
      <c r="B51" s="292" t="str">
        <f ca="1">IF(LEN(A51)=0,"",INDEX('Smelter Reference List'!$A:$A,MATCH($A51,'Smelter Reference List'!$E:$E,0)))</f>
        <v>Tantalum</v>
      </c>
      <c r="C51" s="298" t="str">
        <f ca="1">IF(LEN(A51)=0,"",INDEX('Smelter Reference List'!$C:$C,MATCH($A51,'Smelter Reference List'!$E:$E,0)))</f>
        <v>F&amp;X Electro-Materials Ltd.</v>
      </c>
      <c r="D51" s="292" t="str">
        <f ca="1">IF(ISERROR($S51),"",OFFSET('Smelter Reference List'!$C$4,$S51-4,0)&amp;"")</f>
        <v>F&amp;X Electro-Materials Ltd.</v>
      </c>
      <c r="E51" s="292" t="str">
        <f ca="1">IF(ISERROR($S51),"",OFFSET('Smelter Reference List'!$D$4,$S51-4,0)&amp;"")</f>
        <v>CHINA</v>
      </c>
      <c r="F51" s="292" t="str">
        <f ca="1">IF(ISERROR($S51),"",OFFSET('Smelter Reference List'!$E$4,$S51-4,0))</f>
        <v>CID000460</v>
      </c>
      <c r="G51" s="292" t="str">
        <f ca="1">IF(C51=$U$4,"Enter smelter details", IF(ISERROR($S51),"",OFFSET('Smelter Reference List'!$F$4,$S51-4,0)))</f>
        <v>CFSI</v>
      </c>
      <c r="H51" s="293">
        <f ca="1">IF(ISERROR($S51),"",OFFSET('Smelter Reference List'!$G$4,$S51-4,0))</f>
        <v>0</v>
      </c>
      <c r="I51" s="294" t="str">
        <f ca="1">IF(ISERROR($S51),"",OFFSET('Smelter Reference List'!$H$4,$S51-4,0))</f>
        <v>Jiangmen</v>
      </c>
      <c r="J51" s="294" t="str">
        <f ca="1">IF(ISERROR($S51),"",OFFSET('Smelter Reference List'!$I$4,$S51-4,0))</f>
        <v>Guangdong</v>
      </c>
      <c r="K51" s="295"/>
      <c r="L51" s="295"/>
      <c r="M51" s="295"/>
      <c r="N51" s="295"/>
      <c r="O51" s="295"/>
      <c r="P51" s="295"/>
      <c r="Q51" s="296"/>
      <c r="R51" s="227"/>
      <c r="S51" s="228">
        <f ca="1">IF(C51="",NA(),MATCH($B51&amp;$C51,'Smelter Reference List'!$J:$J,0))</f>
        <v>254</v>
      </c>
      <c r="T51" s="229"/>
      <c r="U51" s="229">
        <f t="shared" ca="1" si="2"/>
        <v>0</v>
      </c>
      <c r="V51" s="229"/>
      <c r="W51" s="229"/>
      <c r="Y51" s="223" t="str">
        <f t="shared" ca="1" si="3"/>
        <v>TantalumF&amp;X Electro-Materials Ltd.</v>
      </c>
    </row>
    <row r="52" spans="1:25" s="223" customFormat="1" ht="20.25">
      <c r="A52" s="291" t="s">
        <v>1348</v>
      </c>
      <c r="B52" s="292" t="str">
        <f ca="1">IF(LEN(A52)=0,"",INDEX('Smelter Reference List'!$A:$A,MATCH($A52,'Smelter Reference List'!$E:$E,0)))</f>
        <v>Tin</v>
      </c>
      <c r="C52" s="298" t="str">
        <f ca="1">IF(LEN(A52)=0,"",INDEX('Smelter Reference List'!$C:$C,MATCH($A52,'Smelter Reference List'!$E:$E,0)))</f>
        <v>Fenix Metals</v>
      </c>
      <c r="D52" s="292" t="str">
        <f ca="1">IF(ISERROR($S52),"",OFFSET('Smelter Reference List'!$C$4,$S52-4,0)&amp;"")</f>
        <v>Fenix Metals</v>
      </c>
      <c r="E52" s="292" t="str">
        <f ca="1">IF(ISERROR($S52),"",OFFSET('Smelter Reference List'!$D$4,$S52-4,0)&amp;"")</f>
        <v>POLAND</v>
      </c>
      <c r="F52" s="292" t="str">
        <f ca="1">IF(ISERROR($S52),"",OFFSET('Smelter Reference List'!$E$4,$S52-4,0))</f>
        <v>CID000468</v>
      </c>
      <c r="G52" s="292" t="str">
        <f ca="1">IF(C52=$U$4,"Enter smelter details", IF(ISERROR($S52),"",OFFSET('Smelter Reference List'!$F$4,$S52-4,0)))</f>
        <v>CFSI</v>
      </c>
      <c r="H52" s="293">
        <f ca="1">IF(ISERROR($S52),"",OFFSET('Smelter Reference List'!$G$4,$S52-4,0))</f>
        <v>0</v>
      </c>
      <c r="I52" s="294" t="str">
        <f ca="1">IF(ISERROR($S52),"",OFFSET('Smelter Reference List'!$H$4,$S52-4,0))</f>
        <v>Chmielów</v>
      </c>
      <c r="J52" s="294" t="str">
        <f ca="1">IF(ISERROR($S52),"",OFFSET('Smelter Reference List'!$I$4,$S52-4,0))</f>
        <v>Subcarpathian Voivodeship</v>
      </c>
      <c r="K52" s="295"/>
      <c r="L52" s="295"/>
      <c r="M52" s="295"/>
      <c r="N52" s="295"/>
      <c r="O52" s="295"/>
      <c r="P52" s="295"/>
      <c r="Q52" s="296"/>
      <c r="R52" s="227"/>
      <c r="S52" s="228">
        <f ca="1">IF(C52="",NA(),MATCH($B52&amp;$C52,'Smelter Reference List'!$J:$J,0))</f>
        <v>352</v>
      </c>
      <c r="T52" s="229"/>
      <c r="U52" s="229">
        <f t="shared" ca="1" si="2"/>
        <v>0</v>
      </c>
      <c r="V52" s="229"/>
      <c r="W52" s="229"/>
      <c r="Y52" s="223" t="str">
        <f t="shared" ca="1" si="3"/>
        <v>TinFenix Metals</v>
      </c>
    </row>
    <row r="53" spans="1:25" s="223" customFormat="1" ht="20.25">
      <c r="A53" s="291" t="s">
        <v>1237</v>
      </c>
      <c r="B53" s="292" t="str">
        <f ca="1">IF(LEN(A53)=0,"",INDEX('Smelter Reference List'!$A:$A,MATCH($A53,'Smelter Reference List'!$E:$E,0)))</f>
        <v>Gold</v>
      </c>
      <c r="C53" s="298" t="str">
        <f ca="1">IF(LEN(A53)=0,"",INDEX('Smelter Reference List'!$C:$C,MATCH($A53,'Smelter Reference List'!$E:$E,0)))</f>
        <v>OJSC Novosibirsk Refinery</v>
      </c>
      <c r="D53" s="292" t="str">
        <f ca="1">IF(ISERROR($S53),"",OFFSET('Smelter Reference List'!$C$4,$S53-4,0)&amp;"")</f>
        <v>OJSC Novosibirsk Refinery</v>
      </c>
      <c r="E53" s="292" t="str">
        <f ca="1">IF(ISERROR($S53),"",OFFSET('Smelter Reference List'!$D$4,$S53-4,0)&amp;"")</f>
        <v>RUSSIAN FEDERATION</v>
      </c>
      <c r="F53" s="292" t="str">
        <f ca="1">IF(ISERROR($S53),"",OFFSET('Smelter Reference List'!$E$4,$S53-4,0))</f>
        <v>CID000493</v>
      </c>
      <c r="G53" s="292" t="str">
        <f ca="1">IF(C53=$U$4,"Enter smelter details", IF(ISERROR($S53),"",OFFSET('Smelter Reference List'!$F$4,$S53-4,0)))</f>
        <v>CFSI</v>
      </c>
      <c r="H53" s="293">
        <f ca="1">IF(ISERROR($S53),"",OFFSET('Smelter Reference List'!$G$4,$S53-4,0))</f>
        <v>0</v>
      </c>
      <c r="I53" s="294" t="str">
        <f ca="1">IF(ISERROR($S53),"",OFFSET('Smelter Reference List'!$H$4,$S53-4,0))</f>
        <v>Novosibirsk</v>
      </c>
      <c r="J53" s="294" t="str">
        <f ca="1">IF(ISERROR($S53),"",OFFSET('Smelter Reference List'!$I$4,$S53-4,0))</f>
        <v>Novosibirsk Province</v>
      </c>
      <c r="K53" s="295"/>
      <c r="L53" s="295"/>
      <c r="M53" s="295"/>
      <c r="N53" s="295"/>
      <c r="O53" s="295"/>
      <c r="P53" s="295"/>
      <c r="Q53" s="296"/>
      <c r="R53" s="227"/>
      <c r="S53" s="228">
        <f ca="1">IF(C53="",NA(),MATCH($B53&amp;$C53,'Smelter Reference List'!$J:$J,0))</f>
        <v>146</v>
      </c>
      <c r="T53" s="229"/>
      <c r="U53" s="229">
        <f t="shared" ca="1" si="2"/>
        <v>0</v>
      </c>
      <c r="V53" s="229"/>
      <c r="W53" s="229"/>
      <c r="Y53" s="223" t="str">
        <f t="shared" ca="1" si="3"/>
        <v>GoldOJSC Novosibirsk Refinery</v>
      </c>
    </row>
    <row r="54" spans="1:25" s="223" customFormat="1" ht="20.25">
      <c r="A54" s="291" t="s">
        <v>1389</v>
      </c>
      <c r="B54" s="292" t="str">
        <f ca="1">IF(LEN(A54)=0,"",INDEX('Smelter Reference List'!$A:$A,MATCH($A54,'Smelter Reference List'!$E:$E,0)))</f>
        <v>Tungsten</v>
      </c>
      <c r="C54" s="298" t="str">
        <f ca="1">IF(LEN(A54)=0,"",INDEX('Smelter Reference List'!$C:$C,MATCH($A54,'Smelter Reference List'!$E:$E,0)))</f>
        <v>Fujian Jinxin Tungsten Co., Ltd.</v>
      </c>
      <c r="D54" s="292" t="str">
        <f ca="1">IF(ISERROR($S54),"",OFFSET('Smelter Reference List'!$C$4,$S54-4,0)&amp;"")</f>
        <v>Fujian Jinxin Tungsten Co., Ltd.</v>
      </c>
      <c r="E54" s="292" t="str">
        <f ca="1">IF(ISERROR($S54),"",OFFSET('Smelter Reference List'!$D$4,$S54-4,0)&amp;"")</f>
        <v>CHINA</v>
      </c>
      <c r="F54" s="292" t="str">
        <f ca="1">IF(ISERROR($S54),"",OFFSET('Smelter Reference List'!$E$4,$S54-4,0))</f>
        <v>CID000499</v>
      </c>
      <c r="G54" s="292" t="str">
        <f ca="1">IF(C54=$U$4,"Enter smelter details", IF(ISERROR($S54),"",OFFSET('Smelter Reference List'!$F$4,$S54-4,0)))</f>
        <v>CFSI</v>
      </c>
      <c r="H54" s="293">
        <f ca="1">IF(ISERROR($S54),"",OFFSET('Smelter Reference List'!$G$4,$S54-4,0))</f>
        <v>0</v>
      </c>
      <c r="I54" s="294" t="str">
        <f ca="1">IF(ISERROR($S54),"",OFFSET('Smelter Reference List'!$H$4,$S54-4,0))</f>
        <v>Yanshi</v>
      </c>
      <c r="J54" s="294" t="str">
        <f ca="1">IF(ISERROR($S54),"",OFFSET('Smelter Reference List'!$I$4,$S54-4,0))</f>
        <v>Fujian</v>
      </c>
      <c r="K54" s="295"/>
      <c r="L54" s="295"/>
      <c r="M54" s="295"/>
      <c r="N54" s="295"/>
      <c r="O54" s="295"/>
      <c r="P54" s="295"/>
      <c r="Q54" s="296"/>
      <c r="R54" s="227"/>
      <c r="S54" s="228">
        <f ca="1">IF(C54="",NA(),MATCH($B54&amp;$C54,'Smelter Reference List'!$J:$J,0))</f>
        <v>480</v>
      </c>
      <c r="T54" s="229"/>
      <c r="U54" s="229">
        <f t="shared" ca="1" si="2"/>
        <v>0</v>
      </c>
      <c r="V54" s="229"/>
      <c r="W54" s="229"/>
      <c r="Y54" s="223" t="str">
        <f t="shared" ca="1" si="3"/>
        <v>TungstenFujian Jinxin Tungsten Co., Ltd.</v>
      </c>
    </row>
    <row r="55" spans="1:25" s="223" customFormat="1" ht="20.25">
      <c r="A55" s="291" t="s">
        <v>1238</v>
      </c>
      <c r="B55" s="292" t="str">
        <f ca="1">IF(LEN(A55)=0,"",INDEX('Smelter Reference List'!$A:$A,MATCH($A55,'Smelter Reference List'!$E:$E,0)))</f>
        <v>Gold</v>
      </c>
      <c r="C55" s="298" t="str">
        <f ca="1">IF(LEN(A55)=0,"",INDEX('Smelter Reference List'!$C:$C,MATCH($A55,'Smelter Reference List'!$E:$E,0)))</f>
        <v>Gansu Seemine Material Hi-Tech Co., Ltd.</v>
      </c>
      <c r="D55" s="292" t="str">
        <f ca="1">IF(ISERROR($S55),"",OFFSET('Smelter Reference List'!$C$4,$S55-4,0)&amp;"")</f>
        <v>Gansu Seemine Material Hi-Tech Co., Ltd.</v>
      </c>
      <c r="E55" s="292" t="str">
        <f ca="1">IF(ISERROR($S55),"",OFFSET('Smelter Reference List'!$D$4,$S55-4,0)&amp;"")</f>
        <v>CHINA</v>
      </c>
      <c r="F55" s="292" t="str">
        <f ca="1">IF(ISERROR($S55),"",OFFSET('Smelter Reference List'!$E$4,$S55-4,0))</f>
        <v>CID000522</v>
      </c>
      <c r="G55" s="292" t="str">
        <f ca="1">IF(C55=$U$4,"Enter smelter details", IF(ISERROR($S55),"",OFFSET('Smelter Reference List'!$F$4,$S55-4,0)))</f>
        <v>CFSI</v>
      </c>
      <c r="H55" s="293">
        <f ca="1">IF(ISERROR($S55),"",OFFSET('Smelter Reference List'!$G$4,$S55-4,0))</f>
        <v>0</v>
      </c>
      <c r="I55" s="294" t="str">
        <f ca="1">IF(ISERROR($S55),"",OFFSET('Smelter Reference List'!$H$4,$S55-4,0))</f>
        <v>Lanzhou</v>
      </c>
      <c r="J55" s="294" t="str">
        <f ca="1">IF(ISERROR($S55),"",OFFSET('Smelter Reference List'!$I$4,$S55-4,0))</f>
        <v>Gansu</v>
      </c>
      <c r="K55" s="295"/>
      <c r="L55" s="295"/>
      <c r="M55" s="295"/>
      <c r="N55" s="295"/>
      <c r="O55" s="295"/>
      <c r="P55" s="295"/>
      <c r="Q55" s="296"/>
      <c r="R55" s="227"/>
      <c r="S55" s="228">
        <f ca="1">IF(C55="",NA(),MATCH($B55&amp;$C55,'Smelter Reference List'!$J:$J,0))</f>
        <v>62</v>
      </c>
      <c r="T55" s="229"/>
      <c r="U55" s="229">
        <f t="shared" ca="1" si="2"/>
        <v>0</v>
      </c>
      <c r="V55" s="229"/>
      <c r="W55" s="229"/>
      <c r="Y55" s="223" t="str">
        <f t="shared" ca="1" si="3"/>
        <v>GoldGansu Seemine Material Hi-Tech Co., Ltd.</v>
      </c>
    </row>
    <row r="56" spans="1:25" s="223" customFormat="1" ht="20.25">
      <c r="A56" s="291" t="s">
        <v>1349</v>
      </c>
      <c r="B56" s="292" t="str">
        <f ca="1">IF(LEN(A56)=0,"",INDEX('Smelter Reference List'!$A:$A,MATCH($A56,'Smelter Reference List'!$E:$E,0)))</f>
        <v>Tin</v>
      </c>
      <c r="C56" s="298" t="str">
        <f ca="1">IF(LEN(A56)=0,"",INDEX('Smelter Reference List'!$C:$C,MATCH($A56,'Smelter Reference List'!$E:$E,0)))</f>
        <v>Gejiu Non-Ferrous Metal Processing Co., Ltd.</v>
      </c>
      <c r="D56" s="292" t="str">
        <f ca="1">IF(ISERROR($S56),"",OFFSET('Smelter Reference List'!$C$4,$S56-4,0)&amp;"")</f>
        <v>Gejiu Non-Ferrous Metal Processing Co., Ltd.</v>
      </c>
      <c r="E56" s="292" t="str">
        <f ca="1">IF(ISERROR($S56),"",OFFSET('Smelter Reference List'!$D$4,$S56-4,0)&amp;"")</f>
        <v>CHINA</v>
      </c>
      <c r="F56" s="292" t="str">
        <f ca="1">IF(ISERROR($S56),"",OFFSET('Smelter Reference List'!$E$4,$S56-4,0))</f>
        <v>CID000538</v>
      </c>
      <c r="G56" s="292" t="str">
        <f ca="1">IF(C56=$U$4,"Enter smelter details", IF(ISERROR($S56),"",OFFSET('Smelter Reference List'!$F$4,$S56-4,0)))</f>
        <v>CFSI</v>
      </c>
      <c r="H56" s="293">
        <f ca="1">IF(ISERROR($S56),"",OFFSET('Smelter Reference List'!$G$4,$S56-4,0))</f>
        <v>0</v>
      </c>
      <c r="I56" s="294" t="str">
        <f ca="1">IF(ISERROR($S56),"",OFFSET('Smelter Reference List'!$H$4,$S56-4,0))</f>
        <v>Gejiu</v>
      </c>
      <c r="J56" s="294" t="str">
        <f ca="1">IF(ISERROR($S56),"",OFFSET('Smelter Reference List'!$I$4,$S56-4,0))</f>
        <v>Yunnan</v>
      </c>
      <c r="K56" s="295"/>
      <c r="L56" s="295"/>
      <c r="M56" s="295"/>
      <c r="N56" s="295"/>
      <c r="O56" s="295"/>
      <c r="P56" s="295"/>
      <c r="Q56" s="296"/>
      <c r="R56" s="227"/>
      <c r="S56" s="228">
        <f ca="1">IF(C56="",NA(),MATCH($B56&amp;$C56,'Smelter Reference List'!$J:$J,0))</f>
        <v>358</v>
      </c>
      <c r="T56" s="229"/>
      <c r="U56" s="229">
        <f t="shared" ca="1" si="2"/>
        <v>0</v>
      </c>
      <c r="V56" s="229"/>
      <c r="W56" s="229"/>
      <c r="Y56" s="223" t="str">
        <f t="shared" ca="1" si="3"/>
        <v>TinGejiu Non-Ferrous Metal Processing Co., Ltd.</v>
      </c>
    </row>
    <row r="57" spans="1:25" s="223" customFormat="1" ht="20.25">
      <c r="A57" s="291" t="s">
        <v>1350</v>
      </c>
      <c r="B57" s="292" t="str">
        <f ca="1">IF(LEN(A57)=0,"",INDEX('Smelter Reference List'!$A:$A,MATCH($A57,'Smelter Reference List'!$E:$E,0)))</f>
        <v>Tin</v>
      </c>
      <c r="C57" s="298" t="str">
        <f ca="1">IF(LEN(A57)=0,"",INDEX('Smelter Reference List'!$C:$C,MATCH($A57,'Smelter Reference List'!$E:$E,0)))</f>
        <v>Gejiu Zili Mining And Metallurgy Co., Ltd.</v>
      </c>
      <c r="D57" s="292" t="str">
        <f ca="1">IF(ISERROR($S57),"",OFFSET('Smelter Reference List'!$C$4,$S57-4,0)&amp;"")</f>
        <v>Gejiu Zili Mining And Metallurgy Co., Ltd.</v>
      </c>
      <c r="E57" s="292" t="str">
        <f ca="1">IF(ISERROR($S57),"",OFFSET('Smelter Reference List'!$D$4,$S57-4,0)&amp;"")</f>
        <v>CHINA</v>
      </c>
      <c r="F57" s="292" t="str">
        <f ca="1">IF(ISERROR($S57),"",OFFSET('Smelter Reference List'!$E$4,$S57-4,0))</f>
        <v>CID000555</v>
      </c>
      <c r="G57" s="292" t="str">
        <f ca="1">IF(C57=$U$4,"Enter smelter details", IF(ISERROR($S57),"",OFFSET('Smelter Reference List'!$F$4,$S57-4,0)))</f>
        <v>CFSI</v>
      </c>
      <c r="H57" s="293">
        <f ca="1">IF(ISERROR($S57),"",OFFSET('Smelter Reference List'!$G$4,$S57-4,0))</f>
        <v>0</v>
      </c>
      <c r="I57" s="294" t="str">
        <f ca="1">IF(ISERROR($S57),"",OFFSET('Smelter Reference List'!$H$4,$S57-4,0))</f>
        <v>Gejiu</v>
      </c>
      <c r="J57" s="294" t="str">
        <f ca="1">IF(ISERROR($S57),"",OFFSET('Smelter Reference List'!$I$4,$S57-4,0))</f>
        <v>Yunnan</v>
      </c>
      <c r="K57" s="295"/>
      <c r="L57" s="295"/>
      <c r="M57" s="295"/>
      <c r="N57" s="295"/>
      <c r="O57" s="295"/>
      <c r="P57" s="295"/>
      <c r="Q57" s="296"/>
      <c r="R57" s="227"/>
      <c r="S57" s="228">
        <f ca="1">IF(C57="",NA(),MATCH($B57&amp;$C57,'Smelter Reference List'!$J:$J,0))</f>
        <v>361</v>
      </c>
      <c r="T57" s="229"/>
      <c r="U57" s="229">
        <f t="shared" ca="1" si="2"/>
        <v>0</v>
      </c>
      <c r="V57" s="229"/>
      <c r="W57" s="229"/>
      <c r="Y57" s="223" t="str">
        <f t="shared" ca="1" si="3"/>
        <v>TinGejiu Zili Mining And Metallurgy Co., Ltd.</v>
      </c>
    </row>
    <row r="58" spans="1:25" s="223" customFormat="1" ht="20.25">
      <c r="A58" s="291" t="s">
        <v>1390</v>
      </c>
      <c r="B58" s="292" t="str">
        <f ca="1">IF(LEN(A58)=0,"",INDEX('Smelter Reference List'!$A:$A,MATCH($A58,'Smelter Reference List'!$E:$E,0)))</f>
        <v>Tungsten</v>
      </c>
      <c r="C58" s="298" t="str">
        <f ca="1">IF(LEN(A58)=0,"",INDEX('Smelter Reference List'!$C:$C,MATCH($A58,'Smelter Reference List'!$E:$E,0)))</f>
        <v>Global Tungsten &amp; Powders Corp.</v>
      </c>
      <c r="D58" s="292" t="str">
        <f ca="1">IF(ISERROR($S58),"",OFFSET('Smelter Reference List'!$C$4,$S58-4,0)&amp;"")</f>
        <v>Global Tungsten &amp; Powders Corp.</v>
      </c>
      <c r="E58" s="292" t="str">
        <f ca="1">IF(ISERROR($S58),"",OFFSET('Smelter Reference List'!$D$4,$S58-4,0)&amp;"")</f>
        <v>UNITED STATES OF AMERICA</v>
      </c>
      <c r="F58" s="292" t="str">
        <f ca="1">IF(ISERROR($S58),"",OFFSET('Smelter Reference List'!$E$4,$S58-4,0))</f>
        <v>CID000568</v>
      </c>
      <c r="G58" s="292" t="str">
        <f ca="1">IF(C58=$U$4,"Enter smelter details", IF(ISERROR($S58),"",OFFSET('Smelter Reference List'!$F$4,$S58-4,0)))</f>
        <v>CFSI</v>
      </c>
      <c r="H58" s="293">
        <f ca="1">IF(ISERROR($S58),"",OFFSET('Smelter Reference List'!$G$4,$S58-4,0))</f>
        <v>0</v>
      </c>
      <c r="I58" s="294" t="str">
        <f ca="1">IF(ISERROR($S58),"",OFFSET('Smelter Reference List'!$H$4,$S58-4,0))</f>
        <v>Towanda</v>
      </c>
      <c r="J58" s="294" t="str">
        <f ca="1">IF(ISERROR($S58),"",OFFSET('Smelter Reference List'!$I$4,$S58-4,0))</f>
        <v>Pennsylvania</v>
      </c>
      <c r="K58" s="295"/>
      <c r="L58" s="295"/>
      <c r="M58" s="295"/>
      <c r="N58" s="295"/>
      <c r="O58" s="295"/>
      <c r="P58" s="295"/>
      <c r="Q58" s="296"/>
      <c r="R58" s="227"/>
      <c r="S58" s="228">
        <f ca="1">IF(C58="",NA(),MATCH($B58&amp;$C58,'Smelter Reference List'!$J:$J,0))</f>
        <v>485</v>
      </c>
      <c r="T58" s="229"/>
      <c r="U58" s="229">
        <f t="shared" ca="1" si="2"/>
        <v>0</v>
      </c>
      <c r="V58" s="229"/>
      <c r="W58" s="229"/>
      <c r="Y58" s="223" t="str">
        <f t="shared" ca="1" si="3"/>
        <v>TungstenGlobal Tungsten &amp; Powders Corp.</v>
      </c>
    </row>
    <row r="59" spans="1:25" s="223" customFormat="1" ht="20.25">
      <c r="A59" s="291" t="s">
        <v>1321</v>
      </c>
      <c r="B59" s="292" t="str">
        <f ca="1">IF(LEN(A59)=0,"",INDEX('Smelter Reference List'!$A:$A,MATCH($A59,'Smelter Reference List'!$E:$E,0)))</f>
        <v>Tantalum</v>
      </c>
      <c r="C59" s="298" t="str">
        <f ca="1">IF(LEN(A59)=0,"",INDEX('Smelter Reference List'!$C:$C,MATCH($A59,'Smelter Reference List'!$E:$E,0)))</f>
        <v>Guangdong Zhiyuan New Material Co., Ltd.</v>
      </c>
      <c r="D59" s="292" t="str">
        <f ca="1">IF(ISERROR($S59),"",OFFSET('Smelter Reference List'!$C$4,$S59-4,0)&amp;"")</f>
        <v>Guangdong Zhiyuan New Material Co., Ltd.</v>
      </c>
      <c r="E59" s="292" t="str">
        <f ca="1">IF(ISERROR($S59),"",OFFSET('Smelter Reference List'!$D$4,$S59-4,0)&amp;"")</f>
        <v>CHINA</v>
      </c>
      <c r="F59" s="292" t="str">
        <f ca="1">IF(ISERROR($S59),"",OFFSET('Smelter Reference List'!$E$4,$S59-4,0))</f>
        <v>CID000616</v>
      </c>
      <c r="G59" s="292" t="str">
        <f ca="1">IF(C59=$U$4,"Enter smelter details", IF(ISERROR($S59),"",OFFSET('Smelter Reference List'!$F$4,$S59-4,0)))</f>
        <v>CFSI</v>
      </c>
      <c r="H59" s="293">
        <f ca="1">IF(ISERROR($S59),"",OFFSET('Smelter Reference List'!$G$4,$S59-4,0))</f>
        <v>0</v>
      </c>
      <c r="I59" s="294" t="str">
        <f ca="1">IF(ISERROR($S59),"",OFFSET('Smelter Reference List'!$H$4,$S59-4,0))</f>
        <v>Yingde</v>
      </c>
      <c r="J59" s="294" t="str">
        <f ca="1">IF(ISERROR($S59),"",OFFSET('Smelter Reference List'!$I$4,$S59-4,0))</f>
        <v>Guangdong</v>
      </c>
      <c r="K59" s="295"/>
      <c r="L59" s="295"/>
      <c r="M59" s="295"/>
      <c r="N59" s="295"/>
      <c r="O59" s="295"/>
      <c r="P59" s="295"/>
      <c r="Q59" s="296"/>
      <c r="R59" s="227"/>
      <c r="S59" s="228">
        <f ca="1">IF(C59="",NA(),MATCH($B59&amp;$C59,'Smelter Reference List'!$J:$J,0))</f>
        <v>258</v>
      </c>
      <c r="T59" s="229"/>
      <c r="U59" s="229">
        <f t="shared" ca="1" si="2"/>
        <v>0</v>
      </c>
      <c r="V59" s="229"/>
      <c r="W59" s="229"/>
      <c r="Y59" s="223" t="str">
        <f t="shared" ca="1" si="3"/>
        <v>TantalumGuangdong Zhiyuan New Material Co., Ltd.</v>
      </c>
    </row>
    <row r="60" spans="1:25" s="223" customFormat="1" ht="20.25">
      <c r="A60" s="291" t="s">
        <v>712</v>
      </c>
      <c r="B60" s="292" t="str">
        <f ca="1">IF(LEN(A60)=0,"",INDEX('Smelter Reference List'!$A:$A,MATCH($A60,'Smelter Reference List'!$E:$E,0)))</f>
        <v>Gold</v>
      </c>
      <c r="C60" s="298" t="str">
        <f ca="1">IF(LEN(A60)=0,"",INDEX('Smelter Reference List'!$C:$C,MATCH($A60,'Smelter Reference List'!$E:$E,0)))</f>
        <v>Hangzhou Fuchunjiang Smelting Co., Ltd.</v>
      </c>
      <c r="D60" s="292" t="str">
        <f ca="1">IF(ISERROR($S60),"",OFFSET('Smelter Reference List'!$C$4,$S60-4,0)&amp;"")</f>
        <v>Hangzhou Fuchunjiang Smelting Co., Ltd.</v>
      </c>
      <c r="E60" s="292" t="str">
        <f ca="1">IF(ISERROR($S60),"",OFFSET('Smelter Reference List'!$D$4,$S60-4,0)&amp;"")</f>
        <v>CHINA</v>
      </c>
      <c r="F60" s="292" t="str">
        <f ca="1">IF(ISERROR($S60),"",OFFSET('Smelter Reference List'!$E$4,$S60-4,0))</f>
        <v>CID000671</v>
      </c>
      <c r="G60" s="292" t="str">
        <f ca="1">IF(C60=$U$4,"Enter smelter details", IF(ISERROR($S60),"",OFFSET('Smelter Reference List'!$F$4,$S60-4,0)))</f>
        <v>CFSI</v>
      </c>
      <c r="H60" s="293">
        <f ca="1">IF(ISERROR($S60),"",OFFSET('Smelter Reference List'!$G$4,$S60-4,0))</f>
        <v>0</v>
      </c>
      <c r="I60" s="294" t="str">
        <f ca="1">IF(ISERROR($S60),"",OFFSET('Smelter Reference List'!$H$4,$S60-4,0))</f>
        <v>Fuyang</v>
      </c>
      <c r="J60" s="294" t="str">
        <f ca="1">IF(ISERROR($S60),"",OFFSET('Smelter Reference List'!$I$4,$S60-4,0))</f>
        <v>Zhejiang</v>
      </c>
      <c r="K60" s="295"/>
      <c r="L60" s="295"/>
      <c r="M60" s="295"/>
      <c r="N60" s="295"/>
      <c r="O60" s="295"/>
      <c r="P60" s="295"/>
      <c r="Q60" s="296"/>
      <c r="R60" s="227"/>
      <c r="S60" s="228">
        <f ca="1">IF(C60="",NA(),MATCH($B60&amp;$C60,'Smelter Reference List'!$J:$J,0))</f>
        <v>71</v>
      </c>
      <c r="T60" s="229"/>
      <c r="U60" s="229">
        <f t="shared" ca="1" si="2"/>
        <v>0</v>
      </c>
      <c r="V60" s="229"/>
      <c r="W60" s="229"/>
      <c r="Y60" s="223" t="str">
        <f t="shared" ca="1" si="3"/>
        <v>GoldHangzhou Fuchunjiang Smelting Co., Ltd.</v>
      </c>
    </row>
    <row r="61" spans="1:25" s="223" customFormat="1" ht="20.25">
      <c r="A61" s="291" t="s">
        <v>1241</v>
      </c>
      <c r="B61" s="292" t="str">
        <f ca="1">IF(LEN(A61)=0,"",INDEX('Smelter Reference List'!$A:$A,MATCH($A61,'Smelter Reference List'!$E:$E,0)))</f>
        <v>Gold</v>
      </c>
      <c r="C61" s="298" t="str">
        <f ca="1">IF(LEN(A61)=0,"",INDEX('Smelter Reference List'!$C:$C,MATCH($A61,'Smelter Reference List'!$E:$E,0)))</f>
        <v>Heimerle + Meule GmbH</v>
      </c>
      <c r="D61" s="292" t="str">
        <f ca="1">IF(ISERROR($S61),"",OFFSET('Smelter Reference List'!$C$4,$S61-4,0)&amp;"")</f>
        <v>Heimerle + Meule GmbH</v>
      </c>
      <c r="E61" s="292" t="str">
        <f ca="1">IF(ISERROR($S61),"",OFFSET('Smelter Reference List'!$D$4,$S61-4,0)&amp;"")</f>
        <v>GERMANY</v>
      </c>
      <c r="F61" s="292" t="str">
        <f ca="1">IF(ISERROR($S61),"",OFFSET('Smelter Reference List'!$E$4,$S61-4,0))</f>
        <v>CID000694</v>
      </c>
      <c r="G61" s="292" t="str">
        <f ca="1">IF(C61=$U$4,"Enter smelter details", IF(ISERROR($S61),"",OFFSET('Smelter Reference List'!$F$4,$S61-4,0)))</f>
        <v>CFSI</v>
      </c>
      <c r="H61" s="293">
        <f ca="1">IF(ISERROR($S61),"",OFFSET('Smelter Reference List'!$G$4,$S61-4,0))</f>
        <v>0</v>
      </c>
      <c r="I61" s="294" t="str">
        <f ca="1">IF(ISERROR($S61),"",OFFSET('Smelter Reference List'!$H$4,$S61-4,0))</f>
        <v>Pforzheim</v>
      </c>
      <c r="J61" s="294" t="str">
        <f ca="1">IF(ISERROR($S61),"",OFFSET('Smelter Reference List'!$I$4,$S61-4,0))</f>
        <v>Baden-Württemberg</v>
      </c>
      <c r="K61" s="295"/>
      <c r="L61" s="295"/>
      <c r="M61" s="295"/>
      <c r="N61" s="295"/>
      <c r="O61" s="295"/>
      <c r="P61" s="295"/>
      <c r="Q61" s="296"/>
      <c r="R61" s="227"/>
      <c r="S61" s="228">
        <f ca="1">IF(C61="",NA(),MATCH($B61&amp;$C61,'Smelter Reference List'!$J:$J,0))</f>
        <v>72</v>
      </c>
      <c r="T61" s="229"/>
      <c r="U61" s="229">
        <f t="shared" ca="1" si="2"/>
        <v>0</v>
      </c>
      <c r="V61" s="229"/>
      <c r="W61" s="229"/>
      <c r="Y61" s="223" t="str">
        <f t="shared" ca="1" si="3"/>
        <v>GoldHeimerle + Meule GmbH</v>
      </c>
    </row>
    <row r="62" spans="1:25" s="223" customFormat="1" ht="20.25">
      <c r="A62" s="291" t="s">
        <v>1242</v>
      </c>
      <c r="B62" s="292" t="str">
        <f ca="1">IF(LEN(A62)=0,"",INDEX('Smelter Reference List'!$A:$A,MATCH($A62,'Smelter Reference List'!$E:$E,0)))</f>
        <v>Gold</v>
      </c>
      <c r="C62" s="298" t="str">
        <f ca="1">IF(LEN(A62)=0,"",INDEX('Smelter Reference List'!$C:$C,MATCH($A62,'Smelter Reference List'!$E:$E,0)))</f>
        <v>Heraeus Ltd. Hong Kong</v>
      </c>
      <c r="D62" s="292" t="str">
        <f ca="1">IF(ISERROR($S62),"",OFFSET('Smelter Reference List'!$C$4,$S62-4,0)&amp;"")</f>
        <v>Heraeus Ltd. Hong Kong</v>
      </c>
      <c r="E62" s="292" t="str">
        <f ca="1">IF(ISERROR($S62),"",OFFSET('Smelter Reference List'!$D$4,$S62-4,0)&amp;"")</f>
        <v>CHINA</v>
      </c>
      <c r="F62" s="292" t="str">
        <f ca="1">IF(ISERROR($S62),"",OFFSET('Smelter Reference List'!$E$4,$S62-4,0))</f>
        <v>CID000707</v>
      </c>
      <c r="G62" s="292" t="str">
        <f ca="1">IF(C62=$U$4,"Enter smelter details", IF(ISERROR($S62),"",OFFSET('Smelter Reference List'!$F$4,$S62-4,0)))</f>
        <v>CFSI</v>
      </c>
      <c r="H62" s="293">
        <f ca="1">IF(ISERROR($S62),"",OFFSET('Smelter Reference List'!$G$4,$S62-4,0))</f>
        <v>0</v>
      </c>
      <c r="I62" s="294" t="str">
        <f ca="1">IF(ISERROR($S62),"",OFFSET('Smelter Reference List'!$H$4,$S62-4,0))</f>
        <v>Fanling</v>
      </c>
      <c r="J62" s="294" t="str">
        <f ca="1">IF(ISERROR($S62),"",OFFSET('Smelter Reference List'!$I$4,$S62-4,0))</f>
        <v>Hong Kong</v>
      </c>
      <c r="K62" s="295"/>
      <c r="L62" s="295"/>
      <c r="M62" s="295"/>
      <c r="N62" s="295"/>
      <c r="O62" s="295"/>
      <c r="P62" s="295"/>
      <c r="Q62" s="296"/>
      <c r="R62" s="227"/>
      <c r="S62" s="228">
        <f ca="1">IF(C62="",NA(),MATCH($B62&amp;$C62,'Smelter Reference List'!$J:$J,0))</f>
        <v>76</v>
      </c>
      <c r="T62" s="229"/>
      <c r="U62" s="229">
        <f t="shared" ca="1" si="2"/>
        <v>0</v>
      </c>
      <c r="V62" s="229"/>
      <c r="W62" s="229"/>
      <c r="Y62" s="223" t="str">
        <f t="shared" ca="1" si="3"/>
        <v>GoldHeraeus Ltd. Hong Kong</v>
      </c>
    </row>
    <row r="63" spans="1:25" s="223" customFormat="1" ht="20.25">
      <c r="A63" s="291" t="s">
        <v>1243</v>
      </c>
      <c r="B63" s="292" t="str">
        <f ca="1">IF(LEN(A63)=0,"",INDEX('Smelter Reference List'!$A:$A,MATCH($A63,'Smelter Reference List'!$E:$E,0)))</f>
        <v>Gold</v>
      </c>
      <c r="C63" s="298" t="str">
        <f ca="1">IF(LEN(A63)=0,"",INDEX('Smelter Reference List'!$C:$C,MATCH($A63,'Smelter Reference List'!$E:$E,0)))</f>
        <v>Heraeus Precious Metals GmbH &amp; Co. KG</v>
      </c>
      <c r="D63" s="292" t="str">
        <f ca="1">IF(ISERROR($S63),"",OFFSET('Smelter Reference List'!$C$4,$S63-4,0)&amp;"")</f>
        <v>Heraeus Precious Metals GmbH &amp; Co. KG</v>
      </c>
      <c r="E63" s="292" t="str">
        <f ca="1">IF(ISERROR($S63),"",OFFSET('Smelter Reference List'!$D$4,$S63-4,0)&amp;"")</f>
        <v>GERMANY</v>
      </c>
      <c r="F63" s="292" t="str">
        <f ca="1">IF(ISERROR($S63),"",OFFSET('Smelter Reference List'!$E$4,$S63-4,0))</f>
        <v>CID000711</v>
      </c>
      <c r="G63" s="292" t="str">
        <f ca="1">IF(C63=$U$4,"Enter smelter details", IF(ISERROR($S63),"",OFFSET('Smelter Reference List'!$F$4,$S63-4,0)))</f>
        <v>CFSI</v>
      </c>
      <c r="H63" s="293">
        <f ca="1">IF(ISERROR($S63),"",OFFSET('Smelter Reference List'!$G$4,$S63-4,0))</f>
        <v>0</v>
      </c>
      <c r="I63" s="294" t="str">
        <f ca="1">IF(ISERROR($S63),"",OFFSET('Smelter Reference List'!$H$4,$S63-4,0))</f>
        <v>Hanau</v>
      </c>
      <c r="J63" s="294" t="str">
        <f ca="1">IF(ISERROR($S63),"",OFFSET('Smelter Reference List'!$I$4,$S63-4,0))</f>
        <v>Hesse</v>
      </c>
      <c r="K63" s="295"/>
      <c r="L63" s="295"/>
      <c r="M63" s="295"/>
      <c r="N63" s="295"/>
      <c r="O63" s="295"/>
      <c r="P63" s="295"/>
      <c r="Q63" s="296"/>
      <c r="R63" s="227"/>
      <c r="S63" s="228">
        <f ca="1">IF(C63="",NA(),MATCH($B63&amp;$C63,'Smelter Reference List'!$J:$J,0))</f>
        <v>77</v>
      </c>
      <c r="T63" s="229"/>
      <c r="U63" s="229">
        <f t="shared" ca="1" si="2"/>
        <v>0</v>
      </c>
      <c r="V63" s="229"/>
      <c r="W63" s="229"/>
      <c r="Y63" s="223" t="str">
        <f t="shared" ca="1" si="3"/>
        <v>GoldHeraeus Precious Metals GmbH &amp; Co. KG</v>
      </c>
    </row>
    <row r="64" spans="1:25" s="223" customFormat="1" ht="20.25">
      <c r="A64" s="291" t="s">
        <v>1322</v>
      </c>
      <c r="B64" s="292" t="str">
        <f ca="1">IF(LEN(A64)=0,"",INDEX('Smelter Reference List'!$A:$A,MATCH($A64,'Smelter Reference List'!$E:$E,0)))</f>
        <v>Tantalum</v>
      </c>
      <c r="C64" s="298" t="str">
        <f ca="1">IF(LEN(A64)=0,"",INDEX('Smelter Reference List'!$C:$C,MATCH($A64,'Smelter Reference List'!$E:$E,0)))</f>
        <v>Hi-Temp Specialty Metals, Inc.</v>
      </c>
      <c r="D64" s="292" t="str">
        <f ca="1">IF(ISERROR($S64),"",OFFSET('Smelter Reference List'!$C$4,$S64-4,0)&amp;"")</f>
        <v>Hi-Temp Specialty Metals, Inc.</v>
      </c>
      <c r="E64" s="292" t="str">
        <f ca="1">IF(ISERROR($S64),"",OFFSET('Smelter Reference List'!$D$4,$S64-4,0)&amp;"")</f>
        <v>UNITED STATES OF AMERICA</v>
      </c>
      <c r="F64" s="292" t="str">
        <f ca="1">IF(ISERROR($S64),"",OFFSET('Smelter Reference List'!$E$4,$S64-4,0))</f>
        <v>CID000731</v>
      </c>
      <c r="G64" s="292" t="str">
        <f ca="1">IF(C64=$U$4,"Enter smelter details", IF(ISERROR($S64),"",OFFSET('Smelter Reference List'!$F$4,$S64-4,0)))</f>
        <v>CFSI</v>
      </c>
      <c r="H64" s="293">
        <f ca="1">IF(ISERROR($S64),"",OFFSET('Smelter Reference List'!$G$4,$S64-4,0))</f>
        <v>0</v>
      </c>
      <c r="I64" s="294" t="str">
        <f ca="1">IF(ISERROR($S64),"",OFFSET('Smelter Reference List'!$H$4,$S64-4,0))</f>
        <v>Yaphank</v>
      </c>
      <c r="J64" s="294" t="str">
        <f ca="1">IF(ISERROR($S64),"",OFFSET('Smelter Reference List'!$I$4,$S64-4,0))</f>
        <v>New York</v>
      </c>
      <c r="K64" s="295"/>
      <c r="L64" s="295"/>
      <c r="M64" s="295"/>
      <c r="N64" s="295"/>
      <c r="O64" s="295"/>
      <c r="P64" s="295"/>
      <c r="Q64" s="296"/>
      <c r="R64" s="227"/>
      <c r="S64" s="228">
        <f ca="1">IF(C64="",NA(),MATCH($B64&amp;$C64,'Smelter Reference List'!$J:$J,0))</f>
        <v>268</v>
      </c>
      <c r="T64" s="229"/>
      <c r="U64" s="229">
        <f t="shared" ca="1" si="2"/>
        <v>0</v>
      </c>
      <c r="V64" s="229"/>
      <c r="W64" s="229"/>
      <c r="Y64" s="223" t="str">
        <f t="shared" ca="1" si="3"/>
        <v>TantalumHi-Temp Specialty Metals, Inc.</v>
      </c>
    </row>
    <row r="65" spans="1:25" s="223" customFormat="1" ht="20.25">
      <c r="A65" s="291" t="s">
        <v>1351</v>
      </c>
      <c r="B65" s="292" t="str">
        <f ca="1">IF(LEN(A65)=0,"",INDEX('Smelter Reference List'!$A:$A,MATCH($A65,'Smelter Reference List'!$E:$E,0)))</f>
        <v>Tin</v>
      </c>
      <c r="C65" s="298" t="str">
        <f ca="1">IF(LEN(A65)=0,"",INDEX('Smelter Reference List'!$C:$C,MATCH($A65,'Smelter Reference List'!$E:$E,0)))</f>
        <v>Huichang Jinshunda Tin Co., Ltd.</v>
      </c>
      <c r="D65" s="292" t="str">
        <f ca="1">IF(ISERROR($S65),"",OFFSET('Smelter Reference List'!$C$4,$S65-4,0)&amp;"")</f>
        <v>Huichang Jinshunda Tin Co., Ltd.</v>
      </c>
      <c r="E65" s="292" t="str">
        <f ca="1">IF(ISERROR($S65),"",OFFSET('Smelter Reference List'!$D$4,$S65-4,0)&amp;"")</f>
        <v>CHINA</v>
      </c>
      <c r="F65" s="292" t="str">
        <f ca="1">IF(ISERROR($S65),"",OFFSET('Smelter Reference List'!$E$4,$S65-4,0))</f>
        <v>CID000760</v>
      </c>
      <c r="G65" s="292" t="str">
        <f ca="1">IF(C65=$U$4,"Enter smelter details", IF(ISERROR($S65),"",OFFSET('Smelter Reference List'!$F$4,$S65-4,0)))</f>
        <v>CFSI</v>
      </c>
      <c r="H65" s="293">
        <f ca="1">IF(ISERROR($S65),"",OFFSET('Smelter Reference List'!$G$4,$S65-4,0))</f>
        <v>0</v>
      </c>
      <c r="I65" s="294" t="str">
        <f ca="1">IF(ISERROR($S65),"",OFFSET('Smelter Reference List'!$H$4,$S65-4,0))</f>
        <v>Ganzhou</v>
      </c>
      <c r="J65" s="294" t="str">
        <f ca="1">IF(ISERROR($S65),"",OFFSET('Smelter Reference List'!$I$4,$S65-4,0))</f>
        <v>Jiangxi</v>
      </c>
      <c r="K65" s="295"/>
      <c r="L65" s="295"/>
      <c r="M65" s="295"/>
      <c r="N65" s="295"/>
      <c r="O65" s="295"/>
      <c r="P65" s="295"/>
      <c r="Q65" s="296"/>
      <c r="R65" s="227"/>
      <c r="S65" s="228">
        <f ca="1">IF(C65="",NA(),MATCH($B65&amp;$C65,'Smelter Reference List'!$J:$J,0))</f>
        <v>368</v>
      </c>
      <c r="T65" s="229"/>
      <c r="U65" s="229">
        <f t="shared" ca="1" si="2"/>
        <v>0</v>
      </c>
      <c r="V65" s="229"/>
      <c r="W65" s="229"/>
      <c r="Y65" s="223" t="str">
        <f t="shared" ca="1" si="3"/>
        <v>TinHuichang Jinshunda Tin Co., Ltd.</v>
      </c>
    </row>
    <row r="66" spans="1:25" s="223" customFormat="1" ht="20.25">
      <c r="A66" s="291" t="s">
        <v>1391</v>
      </c>
      <c r="B66" s="292" t="str">
        <f ca="1">IF(LEN(A66)=0,"",INDEX('Smelter Reference List'!$A:$A,MATCH($A66,'Smelter Reference List'!$E:$E,0)))</f>
        <v>Tungsten</v>
      </c>
      <c r="C66" s="298" t="str">
        <f ca="1">IF(LEN(A66)=0,"",INDEX('Smelter Reference List'!$C:$C,MATCH($A66,'Smelter Reference List'!$E:$E,0)))</f>
        <v>Hunan Chenzhou Mining Co., Ltd.</v>
      </c>
      <c r="D66" s="292" t="str">
        <f ca="1">IF(ISERROR($S66),"",OFFSET('Smelter Reference List'!$C$4,$S66-4,0)&amp;"")</f>
        <v>Hunan Chenzhou Mining Co., Ltd.</v>
      </c>
      <c r="E66" s="292" t="str">
        <f ca="1">IF(ISERROR($S66),"",OFFSET('Smelter Reference List'!$D$4,$S66-4,0)&amp;"")</f>
        <v>CHINA</v>
      </c>
      <c r="F66" s="292" t="str">
        <f ca="1">IF(ISERROR($S66),"",OFFSET('Smelter Reference List'!$E$4,$S66-4,0))</f>
        <v>CID000766</v>
      </c>
      <c r="G66" s="292" t="str">
        <f ca="1">IF(C66=$U$4,"Enter smelter details", IF(ISERROR($S66),"",OFFSET('Smelter Reference List'!$F$4,$S66-4,0)))</f>
        <v>CFSI</v>
      </c>
      <c r="H66" s="293">
        <f ca="1">IF(ISERROR($S66),"",OFFSET('Smelter Reference List'!$G$4,$S66-4,0))</f>
        <v>0</v>
      </c>
      <c r="I66" s="294" t="str">
        <f ca="1">IF(ISERROR($S66),"",OFFSET('Smelter Reference List'!$H$4,$S66-4,0))</f>
        <v>Yuanling</v>
      </c>
      <c r="J66" s="294" t="str">
        <f ca="1">IF(ISERROR($S66),"",OFFSET('Smelter Reference List'!$I$4,$S66-4,0))</f>
        <v>Hunan</v>
      </c>
      <c r="K66" s="295"/>
      <c r="L66" s="295"/>
      <c r="M66" s="295"/>
      <c r="N66" s="295"/>
      <c r="O66" s="295"/>
      <c r="P66" s="295"/>
      <c r="Q66" s="296"/>
      <c r="R66" s="227"/>
      <c r="S66" s="228">
        <f ca="1">IF(C66="",NA(),MATCH($B66&amp;$C66,'Smelter Reference List'!$J:$J,0))</f>
        <v>491</v>
      </c>
      <c r="T66" s="229"/>
      <c r="U66" s="229">
        <f t="shared" ca="1" si="2"/>
        <v>0</v>
      </c>
      <c r="V66" s="229"/>
      <c r="W66" s="229"/>
      <c r="Y66" s="223" t="str">
        <f t="shared" ca="1" si="3"/>
        <v>TungstenHunan Chenzhou Mining Co., Ltd.</v>
      </c>
    </row>
    <row r="67" spans="1:25" s="223" customFormat="1" ht="20.25">
      <c r="A67" s="291" t="s">
        <v>1244</v>
      </c>
      <c r="B67" s="292" t="str">
        <f ca="1">IF(LEN(A67)=0,"",INDEX('Smelter Reference List'!$A:$A,MATCH($A67,'Smelter Reference List'!$E:$E,0)))</f>
        <v>Gold</v>
      </c>
      <c r="C67" s="298" t="str">
        <f ca="1">IF(LEN(A67)=0,"",INDEX('Smelter Reference List'!$C:$C,MATCH($A67,'Smelter Reference List'!$E:$E,0)))</f>
        <v>Hunan Chenzhou Mining Co., Ltd.</v>
      </c>
      <c r="D67" s="292" t="str">
        <f ca="1">IF(ISERROR($S67),"",OFFSET('Smelter Reference List'!$C$4,$S67-4,0)&amp;"")</f>
        <v>Hunan Chenzhou Mining Co., Ltd.</v>
      </c>
      <c r="E67" s="292" t="str">
        <f ca="1">IF(ISERROR($S67),"",OFFSET('Smelter Reference List'!$D$4,$S67-4,0)&amp;"")</f>
        <v>CHINA</v>
      </c>
      <c r="F67" s="292" t="str">
        <f ca="1">IF(ISERROR($S67),"",OFFSET('Smelter Reference List'!$E$4,$S67-4,0))</f>
        <v>CID000767</v>
      </c>
      <c r="G67" s="292" t="str">
        <f ca="1">IF(C67=$U$4,"Enter smelter details", IF(ISERROR($S67),"",OFFSET('Smelter Reference List'!$F$4,$S67-4,0)))</f>
        <v>CFSI</v>
      </c>
      <c r="H67" s="293">
        <f ca="1">IF(ISERROR($S67),"",OFFSET('Smelter Reference List'!$G$4,$S67-4,0))</f>
        <v>0</v>
      </c>
      <c r="I67" s="294" t="str">
        <f ca="1">IF(ISERROR($S67),"",OFFSET('Smelter Reference List'!$H$4,$S67-4,0))</f>
        <v>Yuanling</v>
      </c>
      <c r="J67" s="294" t="str">
        <f ca="1">IF(ISERROR($S67),"",OFFSET('Smelter Reference List'!$I$4,$S67-4,0))</f>
        <v>Hunan</v>
      </c>
      <c r="K67" s="295"/>
      <c r="L67" s="295"/>
      <c r="M67" s="295"/>
      <c r="N67" s="295"/>
      <c r="O67" s="295"/>
      <c r="P67" s="295"/>
      <c r="Q67" s="296"/>
      <c r="R67" s="227"/>
      <c r="S67" s="228">
        <f ca="1">IF(C67="",NA(),MATCH($B67&amp;$C67,'Smelter Reference List'!$J:$J,0))</f>
        <v>78</v>
      </c>
      <c r="T67" s="229"/>
      <c r="U67" s="229">
        <f t="shared" ca="1" si="2"/>
        <v>0</v>
      </c>
      <c r="V67" s="229"/>
      <c r="W67" s="229"/>
      <c r="Y67" s="223" t="str">
        <f t="shared" ca="1" si="3"/>
        <v>GoldHunan Chenzhou Mining Co., Ltd.</v>
      </c>
    </row>
    <row r="68" spans="1:25" s="223" customFormat="1" ht="20.25">
      <c r="A68" s="291" t="s">
        <v>1392</v>
      </c>
      <c r="B68" s="292" t="str">
        <f ca="1">IF(LEN(A68)=0,"",INDEX('Smelter Reference List'!$A:$A,MATCH($A68,'Smelter Reference List'!$E:$E,0)))</f>
        <v>Tungsten</v>
      </c>
      <c r="C68" s="298" t="str">
        <f ca="1">IF(LEN(A68)=0,"",INDEX('Smelter Reference List'!$C:$C,MATCH($A68,'Smelter Reference List'!$E:$E,0)))</f>
        <v>Hunan Chunchang Nonferrous Metals Co., Ltd.</v>
      </c>
      <c r="D68" s="292" t="str">
        <f ca="1">IF(ISERROR($S68),"",OFFSET('Smelter Reference List'!$C$4,$S68-4,0)&amp;"")</f>
        <v>Hunan Chunchang Nonferrous Metals Co., Ltd.</v>
      </c>
      <c r="E68" s="292" t="str">
        <f ca="1">IF(ISERROR($S68),"",OFFSET('Smelter Reference List'!$D$4,$S68-4,0)&amp;"")</f>
        <v>CHINA</v>
      </c>
      <c r="F68" s="292" t="str">
        <f ca="1">IF(ISERROR($S68),"",OFFSET('Smelter Reference List'!$E$4,$S68-4,0))</f>
        <v>CID000769</v>
      </c>
      <c r="G68" s="292" t="str">
        <f ca="1">IF(C68=$U$4,"Enter smelter details", IF(ISERROR($S68),"",OFFSET('Smelter Reference List'!$F$4,$S68-4,0)))</f>
        <v>CFSI</v>
      </c>
      <c r="H68" s="293">
        <f ca="1">IF(ISERROR($S68),"",OFFSET('Smelter Reference List'!$G$4,$S68-4,0))</f>
        <v>0</v>
      </c>
      <c r="I68" s="294" t="str">
        <f ca="1">IF(ISERROR($S68),"",OFFSET('Smelter Reference List'!$H$4,$S68-4,0))</f>
        <v>Hengyang</v>
      </c>
      <c r="J68" s="294" t="str">
        <f ca="1">IF(ISERROR($S68),"",OFFSET('Smelter Reference List'!$I$4,$S68-4,0))</f>
        <v>Hunan</v>
      </c>
      <c r="K68" s="295"/>
      <c r="L68" s="295"/>
      <c r="M68" s="295"/>
      <c r="N68" s="295"/>
      <c r="O68" s="295"/>
      <c r="P68" s="295"/>
      <c r="Q68" s="296"/>
      <c r="R68" s="227"/>
      <c r="S68" s="228">
        <f ca="1">IF(C68="",NA(),MATCH($B68&amp;$C68,'Smelter Reference List'!$J:$J,0))</f>
        <v>494</v>
      </c>
      <c r="T68" s="229"/>
      <c r="U68" s="229">
        <f t="shared" ca="1" si="2"/>
        <v>0</v>
      </c>
      <c r="V68" s="229"/>
      <c r="W68" s="229"/>
      <c r="Y68" s="223" t="str">
        <f t="shared" ca="1" si="3"/>
        <v>TungstenHunan Chunchang Nonferrous Metals Co., Ltd.</v>
      </c>
    </row>
    <row r="69" spans="1:25" s="223" customFormat="1" ht="20.25">
      <c r="A69" s="291" t="s">
        <v>1245</v>
      </c>
      <c r="B69" s="292" t="str">
        <f ca="1">IF(LEN(A69)=0,"",INDEX('Smelter Reference List'!$A:$A,MATCH($A69,'Smelter Reference List'!$E:$E,0)))</f>
        <v>Gold</v>
      </c>
      <c r="C69" s="298" t="str">
        <f ca="1">IF(LEN(A69)=0,"",INDEX('Smelter Reference List'!$C:$C,MATCH($A69,'Smelter Reference List'!$E:$E,0)))</f>
        <v>HwaSeong CJ Co., Ltd.</v>
      </c>
      <c r="D69" s="292" t="str">
        <f ca="1">IF(ISERROR($S69),"",OFFSET('Smelter Reference List'!$C$4,$S69-4,0)&amp;"")</f>
        <v>HwaSeong CJ Co., Ltd.</v>
      </c>
      <c r="E69" s="292" t="str">
        <f ca="1">IF(ISERROR($S69),"",OFFSET('Smelter Reference List'!$D$4,$S69-4,0)&amp;"")</f>
        <v>KOREA (REPUBLIC OF)</v>
      </c>
      <c r="F69" s="292" t="str">
        <f ca="1">IF(ISERROR($S69),"",OFFSET('Smelter Reference List'!$E$4,$S69-4,0))</f>
        <v>CID000778</v>
      </c>
      <c r="G69" s="292" t="str">
        <f ca="1">IF(C69=$U$4,"Enter smelter details", IF(ISERROR($S69),"",OFFSET('Smelter Reference List'!$F$4,$S69-4,0)))</f>
        <v>CFSI</v>
      </c>
      <c r="H69" s="293">
        <f ca="1">IF(ISERROR($S69),"",OFFSET('Smelter Reference List'!$G$4,$S69-4,0))</f>
        <v>0</v>
      </c>
      <c r="I69" s="294" t="str">
        <f ca="1">IF(ISERROR($S69),"",OFFSET('Smelter Reference List'!$H$4,$S69-4,0))</f>
        <v>Danwon</v>
      </c>
      <c r="J69" s="294" t="str">
        <f ca="1">IF(ISERROR($S69),"",OFFSET('Smelter Reference List'!$I$4,$S69-4,0))</f>
        <v>Gyeonggi</v>
      </c>
      <c r="K69" s="295"/>
      <c r="L69" s="295"/>
      <c r="M69" s="295"/>
      <c r="N69" s="295"/>
      <c r="O69" s="295"/>
      <c r="P69" s="295"/>
      <c r="Q69" s="296"/>
      <c r="R69" s="227"/>
      <c r="S69" s="228">
        <f ca="1">IF(C69="",NA(),MATCH($B69&amp;$C69,'Smelter Reference List'!$J:$J,0))</f>
        <v>81</v>
      </c>
      <c r="T69" s="229"/>
      <c r="U69" s="229">
        <f t="shared" ca="1" si="2"/>
        <v>0</v>
      </c>
      <c r="V69" s="229"/>
      <c r="W69" s="229"/>
      <c r="Y69" s="223" t="str">
        <f t="shared" ca="1" si="3"/>
        <v>GoldHwaSeong CJ Co., Ltd.</v>
      </c>
    </row>
    <row r="70" spans="1:25" s="223" customFormat="1" ht="20.25">
      <c r="A70" s="291" t="s">
        <v>1246</v>
      </c>
      <c r="B70" s="292" t="str">
        <f ca="1">IF(LEN(A70)=0,"",INDEX('Smelter Reference List'!$A:$A,MATCH($A70,'Smelter Reference List'!$E:$E,0)))</f>
        <v>Gold</v>
      </c>
      <c r="C70" s="298" t="str">
        <f ca="1">IF(LEN(A70)=0,"",INDEX('Smelter Reference List'!$C:$C,MATCH($A70,'Smelter Reference List'!$E:$E,0)))</f>
        <v>Inner Mongolia Qiankun Gold and Silver Refinery Share Co., Ltd.</v>
      </c>
      <c r="D70" s="292" t="str">
        <f ca="1">IF(ISERROR($S70),"",OFFSET('Smelter Reference List'!$C$4,$S70-4,0)&amp;"")</f>
        <v>Inner Mongolia Qiankun Gold and Silver Refinery Share Co., Ltd.</v>
      </c>
      <c r="E70" s="292" t="str">
        <f ca="1">IF(ISERROR($S70),"",OFFSET('Smelter Reference List'!$D$4,$S70-4,0)&amp;"")</f>
        <v>CHINA</v>
      </c>
      <c r="F70" s="292" t="str">
        <f ca="1">IF(ISERROR($S70),"",OFFSET('Smelter Reference List'!$E$4,$S70-4,0))</f>
        <v>CID000801</v>
      </c>
      <c r="G70" s="292" t="str">
        <f ca="1">IF(C70=$U$4,"Enter smelter details", IF(ISERROR($S70),"",OFFSET('Smelter Reference List'!$F$4,$S70-4,0)))</f>
        <v>CFSI</v>
      </c>
      <c r="H70" s="293">
        <f ca="1">IF(ISERROR($S70),"",OFFSET('Smelter Reference List'!$G$4,$S70-4,0))</f>
        <v>0</v>
      </c>
      <c r="I70" s="294" t="str">
        <f ca="1">IF(ISERROR($S70),"",OFFSET('Smelter Reference List'!$H$4,$S70-4,0))</f>
        <v>Hohhot</v>
      </c>
      <c r="J70" s="294" t="str">
        <f ca="1">IF(ISERROR($S70),"",OFFSET('Smelter Reference List'!$I$4,$S70-4,0))</f>
        <v>Inner Mongolia</v>
      </c>
      <c r="K70" s="295"/>
      <c r="L70" s="295"/>
      <c r="M70" s="295"/>
      <c r="N70" s="295"/>
      <c r="O70" s="295"/>
      <c r="P70" s="295"/>
      <c r="Q70" s="296"/>
      <c r="R70" s="227"/>
      <c r="S70" s="228">
        <f ca="1">IF(C70="",NA(),MATCH($B70&amp;$C70,'Smelter Reference List'!$J:$J,0))</f>
        <v>82</v>
      </c>
      <c r="T70" s="229"/>
      <c r="U70" s="229">
        <f t="shared" ref="U70:U132" ca="1" si="4">IF(AND(C70="Smelter not listed",OR(LEN(D70)=0,LEN(E70)=0)),1,0)</f>
        <v>0</v>
      </c>
      <c r="V70" s="229"/>
      <c r="W70" s="229"/>
      <c r="Y70" s="223" t="str">
        <f t="shared" ref="Y70:Y132" ca="1" si="5">B70&amp;C70</f>
        <v>GoldInner Mongolia Qiankun Gold and Silver Refinery Share Co., Ltd.</v>
      </c>
    </row>
    <row r="71" spans="1:25" s="223" customFormat="1" ht="20.25">
      <c r="A71" s="291" t="s">
        <v>1247</v>
      </c>
      <c r="B71" s="292" t="str">
        <f ca="1">IF(LEN(A71)=0,"",INDEX('Smelter Reference List'!$A:$A,MATCH($A71,'Smelter Reference List'!$E:$E,0)))</f>
        <v>Gold</v>
      </c>
      <c r="C71" s="298" t="str">
        <f ca="1">IF(LEN(A71)=0,"",INDEX('Smelter Reference List'!$C:$C,MATCH($A71,'Smelter Reference List'!$E:$E,0)))</f>
        <v>Ishifuku Metal Industry Co., Ltd.</v>
      </c>
      <c r="D71" s="292" t="str">
        <f ca="1">IF(ISERROR($S71),"",OFFSET('Smelter Reference List'!$C$4,$S71-4,0)&amp;"")</f>
        <v>Ishifuku Metal Industry Co., Ltd.</v>
      </c>
      <c r="E71" s="292" t="str">
        <f ca="1">IF(ISERROR($S71),"",OFFSET('Smelter Reference List'!$D$4,$S71-4,0)&amp;"")</f>
        <v>JAPAN</v>
      </c>
      <c r="F71" s="292" t="str">
        <f ca="1">IF(ISERROR($S71),"",OFFSET('Smelter Reference List'!$E$4,$S71-4,0))</f>
        <v>CID000807</v>
      </c>
      <c r="G71" s="292" t="str">
        <f ca="1">IF(C71=$U$4,"Enter smelter details", IF(ISERROR($S71),"",OFFSET('Smelter Reference List'!$F$4,$S71-4,0)))</f>
        <v>CFSI</v>
      </c>
      <c r="H71" s="293">
        <f ca="1">IF(ISERROR($S71),"",OFFSET('Smelter Reference List'!$G$4,$S71-4,0))</f>
        <v>0</v>
      </c>
      <c r="I71" s="294" t="str">
        <f ca="1">IF(ISERROR($S71),"",OFFSET('Smelter Reference List'!$H$4,$S71-4,0))</f>
        <v>Soka</v>
      </c>
      <c r="J71" s="294" t="str">
        <f ca="1">IF(ISERROR($S71),"",OFFSET('Smelter Reference List'!$I$4,$S71-4,0))</f>
        <v>Saitama</v>
      </c>
      <c r="K71" s="295"/>
      <c r="L71" s="295"/>
      <c r="M71" s="295"/>
      <c r="N71" s="295"/>
      <c r="O71" s="295"/>
      <c r="P71" s="295"/>
      <c r="Q71" s="296"/>
      <c r="R71" s="227"/>
      <c r="S71" s="228">
        <f ca="1">IF(C71="",NA(),MATCH($B71&amp;$C71,'Smelter Reference List'!$J:$J,0))</f>
        <v>83</v>
      </c>
      <c r="T71" s="229"/>
      <c r="U71" s="229">
        <f t="shared" ca="1" si="4"/>
        <v>0</v>
      </c>
      <c r="V71" s="229"/>
      <c r="W71" s="229"/>
      <c r="Y71" s="223" t="str">
        <f t="shared" ca="1" si="5"/>
        <v>GoldIshifuku Metal Industry Co., Ltd.</v>
      </c>
    </row>
    <row r="72" spans="1:25" s="223" customFormat="1" ht="20.25">
      <c r="A72" s="291" t="s">
        <v>1248</v>
      </c>
      <c r="B72" s="292" t="str">
        <f ca="1">IF(LEN(A72)=0,"",INDEX('Smelter Reference List'!$A:$A,MATCH($A72,'Smelter Reference List'!$E:$E,0)))</f>
        <v>Gold</v>
      </c>
      <c r="C72" s="298" t="str">
        <f ca="1">IF(LEN(A72)=0,"",INDEX('Smelter Reference List'!$C:$C,MATCH($A72,'Smelter Reference List'!$E:$E,0)))</f>
        <v>Istanbul Gold Refinery</v>
      </c>
      <c r="D72" s="292" t="str">
        <f ca="1">IF(ISERROR($S72),"",OFFSET('Smelter Reference List'!$C$4,$S72-4,0)&amp;"")</f>
        <v>Istanbul Gold Refinery</v>
      </c>
      <c r="E72" s="292" t="str">
        <f ca="1">IF(ISERROR($S72),"",OFFSET('Smelter Reference List'!$D$4,$S72-4,0)&amp;"")</f>
        <v>TURKEY</v>
      </c>
      <c r="F72" s="292" t="str">
        <f ca="1">IF(ISERROR($S72),"",OFFSET('Smelter Reference List'!$E$4,$S72-4,0))</f>
        <v>CID000814</v>
      </c>
      <c r="G72" s="292" t="str">
        <f ca="1">IF(C72=$U$4,"Enter smelter details", IF(ISERROR($S72),"",OFFSET('Smelter Reference List'!$F$4,$S72-4,0)))</f>
        <v>CFSI</v>
      </c>
      <c r="H72" s="293">
        <f ca="1">IF(ISERROR($S72),"",OFFSET('Smelter Reference List'!$G$4,$S72-4,0))</f>
        <v>0</v>
      </c>
      <c r="I72" s="294" t="str">
        <f ca="1">IF(ISERROR($S72),"",OFFSET('Smelter Reference List'!$H$4,$S72-4,0))</f>
        <v>Kuyumcukent</v>
      </c>
      <c r="J72" s="294" t="str">
        <f ca="1">IF(ISERROR($S72),"",OFFSET('Smelter Reference List'!$I$4,$S72-4,0))</f>
        <v>Istanbul</v>
      </c>
      <c r="K72" s="295"/>
      <c r="L72" s="295"/>
      <c r="M72" s="295"/>
      <c r="N72" s="295"/>
      <c r="O72" s="295"/>
      <c r="P72" s="295"/>
      <c r="Q72" s="296"/>
      <c r="R72" s="227"/>
      <c r="S72" s="228">
        <f ca="1">IF(C72="",NA(),MATCH($B72&amp;$C72,'Smelter Reference List'!$J:$J,0))</f>
        <v>84</v>
      </c>
      <c r="T72" s="229"/>
      <c r="U72" s="229">
        <f t="shared" ca="1" si="4"/>
        <v>0</v>
      </c>
      <c r="V72" s="229"/>
      <c r="W72" s="229"/>
      <c r="Y72" s="223" t="str">
        <f t="shared" ca="1" si="5"/>
        <v>GoldIstanbul Gold Refinery</v>
      </c>
    </row>
    <row r="73" spans="1:25" s="223" customFormat="1" ht="20.25">
      <c r="A73" s="291" t="s">
        <v>1249</v>
      </c>
      <c r="B73" s="292" t="str">
        <f ca="1">IF(LEN(A73)=0,"",INDEX('Smelter Reference List'!$A:$A,MATCH($A73,'Smelter Reference List'!$E:$E,0)))</f>
        <v>Gold</v>
      </c>
      <c r="C73" s="298" t="str">
        <f ca="1">IF(LEN(A73)=0,"",INDEX('Smelter Reference List'!$C:$C,MATCH($A73,'Smelter Reference List'!$E:$E,0)))</f>
        <v>Japan Mint</v>
      </c>
      <c r="D73" s="292" t="str">
        <f ca="1">IF(ISERROR($S73),"",OFFSET('Smelter Reference List'!$C$4,$S73-4,0)&amp;"")</f>
        <v>Japan Mint</v>
      </c>
      <c r="E73" s="292" t="str">
        <f ca="1">IF(ISERROR($S73),"",OFFSET('Smelter Reference List'!$D$4,$S73-4,0)&amp;"")</f>
        <v>JAPAN</v>
      </c>
      <c r="F73" s="292" t="str">
        <f ca="1">IF(ISERROR($S73),"",OFFSET('Smelter Reference List'!$E$4,$S73-4,0))</f>
        <v>CID000823</v>
      </c>
      <c r="G73" s="292" t="str">
        <f ca="1">IF(C73=$U$4,"Enter smelter details", IF(ISERROR($S73),"",OFFSET('Smelter Reference List'!$F$4,$S73-4,0)))</f>
        <v>CFSI</v>
      </c>
      <c r="H73" s="293">
        <f ca="1">IF(ISERROR($S73),"",OFFSET('Smelter Reference List'!$G$4,$S73-4,0))</f>
        <v>0</v>
      </c>
      <c r="I73" s="294" t="str">
        <f ca="1">IF(ISERROR($S73),"",OFFSET('Smelter Reference List'!$H$4,$S73-4,0))</f>
        <v>Osaka</v>
      </c>
      <c r="J73" s="294" t="str">
        <f ca="1">IF(ISERROR($S73),"",OFFSET('Smelter Reference List'!$I$4,$S73-4,0))</f>
        <v>Kansai</v>
      </c>
      <c r="K73" s="295"/>
      <c r="L73" s="295"/>
      <c r="M73" s="295"/>
      <c r="N73" s="295"/>
      <c r="O73" s="295"/>
      <c r="P73" s="295"/>
      <c r="Q73" s="296"/>
      <c r="R73" s="227"/>
      <c r="S73" s="228">
        <f ca="1">IF(C73="",NA(),MATCH($B73&amp;$C73,'Smelter Reference List'!$J:$J,0))</f>
        <v>85</v>
      </c>
      <c r="T73" s="229"/>
      <c r="U73" s="229">
        <f t="shared" ca="1" si="4"/>
        <v>0</v>
      </c>
      <c r="V73" s="229"/>
      <c r="W73" s="229"/>
      <c r="Y73" s="223" t="str">
        <f t="shared" ca="1" si="5"/>
        <v>GoldJapan Mint</v>
      </c>
    </row>
    <row r="74" spans="1:25" s="223" customFormat="1" ht="20.25">
      <c r="A74" s="291" t="s">
        <v>1393</v>
      </c>
      <c r="B74" s="292" t="str">
        <f ca="1">IF(LEN(A74)=0,"",INDEX('Smelter Reference List'!$A:$A,MATCH($A74,'Smelter Reference List'!$E:$E,0)))</f>
        <v>Tungsten</v>
      </c>
      <c r="C74" s="298" t="str">
        <f ca="1">IF(LEN(A74)=0,"",INDEX('Smelter Reference List'!$C:$C,MATCH($A74,'Smelter Reference List'!$E:$E,0)))</f>
        <v>Japan New Metals Co., Ltd.</v>
      </c>
      <c r="D74" s="292" t="str">
        <f ca="1">IF(ISERROR($S74),"",OFFSET('Smelter Reference List'!$C$4,$S74-4,0)&amp;"")</f>
        <v>Japan New Metals Co., Ltd.</v>
      </c>
      <c r="E74" s="292" t="str">
        <f ca="1">IF(ISERROR($S74),"",OFFSET('Smelter Reference List'!$D$4,$S74-4,0)&amp;"")</f>
        <v>JAPAN</v>
      </c>
      <c r="F74" s="292" t="str">
        <f ca="1">IF(ISERROR($S74),"",OFFSET('Smelter Reference List'!$E$4,$S74-4,0))</f>
        <v>CID000825</v>
      </c>
      <c r="G74" s="292" t="str">
        <f ca="1">IF(C74=$U$4,"Enter smelter details", IF(ISERROR($S74),"",OFFSET('Smelter Reference List'!$F$4,$S74-4,0)))</f>
        <v>CFSI</v>
      </c>
      <c r="H74" s="293">
        <f ca="1">IF(ISERROR($S74),"",OFFSET('Smelter Reference List'!$G$4,$S74-4,0))</f>
        <v>0</v>
      </c>
      <c r="I74" s="294" t="str">
        <f ca="1">IF(ISERROR($S74),"",OFFSET('Smelter Reference List'!$H$4,$S74-4,0))</f>
        <v>Akita City</v>
      </c>
      <c r="J74" s="294" t="str">
        <f ca="1">IF(ISERROR($S74),"",OFFSET('Smelter Reference List'!$I$4,$S74-4,0))</f>
        <v>Akita</v>
      </c>
      <c r="K74" s="295"/>
      <c r="L74" s="295"/>
      <c r="M74" s="295"/>
      <c r="N74" s="295"/>
      <c r="O74" s="295"/>
      <c r="P74" s="295"/>
      <c r="Q74" s="296"/>
      <c r="R74" s="227"/>
      <c r="S74" s="228">
        <f ca="1">IF(C74="",NA(),MATCH($B74&amp;$C74,'Smelter Reference List'!$J:$J,0))</f>
        <v>496</v>
      </c>
      <c r="T74" s="229"/>
      <c r="U74" s="229">
        <f t="shared" ca="1" si="4"/>
        <v>0</v>
      </c>
      <c r="V74" s="229"/>
      <c r="W74" s="229"/>
      <c r="Y74" s="223" t="str">
        <f t="shared" ca="1" si="5"/>
        <v>TungstenJapan New Metals Co., Ltd.</v>
      </c>
    </row>
    <row r="75" spans="1:25" s="223" customFormat="1" ht="20.25">
      <c r="A75" s="291" t="s">
        <v>1250</v>
      </c>
      <c r="B75" s="292" t="str">
        <f ca="1">IF(LEN(A75)=0,"",INDEX('Smelter Reference List'!$A:$A,MATCH($A75,'Smelter Reference List'!$E:$E,0)))</f>
        <v>Gold</v>
      </c>
      <c r="C75" s="298" t="str">
        <f ca="1">IF(LEN(A75)=0,"",INDEX('Smelter Reference List'!$C:$C,MATCH($A75,'Smelter Reference List'!$E:$E,0)))</f>
        <v>Jiangxi Copper Co., Ltd.</v>
      </c>
      <c r="D75" s="292" t="str">
        <f ca="1">IF(ISERROR($S75),"",OFFSET('Smelter Reference List'!$C$4,$S75-4,0)&amp;"")</f>
        <v>Jiangxi Copper Co., Ltd.</v>
      </c>
      <c r="E75" s="292" t="str">
        <f ca="1">IF(ISERROR($S75),"",OFFSET('Smelter Reference List'!$D$4,$S75-4,0)&amp;"")</f>
        <v>CHINA</v>
      </c>
      <c r="F75" s="292" t="str">
        <f ca="1">IF(ISERROR($S75),"",OFFSET('Smelter Reference List'!$E$4,$S75-4,0))</f>
        <v>CID000855</v>
      </c>
      <c r="G75" s="292" t="str">
        <f ca="1">IF(C75=$U$4,"Enter smelter details", IF(ISERROR($S75),"",OFFSET('Smelter Reference List'!$F$4,$S75-4,0)))</f>
        <v>CFSI</v>
      </c>
      <c r="H75" s="293">
        <f ca="1">IF(ISERROR($S75),"",OFFSET('Smelter Reference List'!$G$4,$S75-4,0))</f>
        <v>0</v>
      </c>
      <c r="I75" s="294" t="str">
        <f ca="1">IF(ISERROR($S75),"",OFFSET('Smelter Reference List'!$H$4,$S75-4,0))</f>
        <v>Guixi City</v>
      </c>
      <c r="J75" s="294" t="str">
        <f ca="1">IF(ISERROR($S75),"",OFFSET('Smelter Reference List'!$I$4,$S75-4,0))</f>
        <v>Jiangxi</v>
      </c>
      <c r="K75" s="295"/>
      <c r="L75" s="295"/>
      <c r="M75" s="295"/>
      <c r="N75" s="295"/>
      <c r="O75" s="295"/>
      <c r="P75" s="295"/>
      <c r="Q75" s="296"/>
      <c r="R75" s="227"/>
      <c r="S75" s="228">
        <f ca="1">IF(C75="",NA(),MATCH($B75&amp;$C75,'Smelter Reference List'!$J:$J,0))</f>
        <v>87</v>
      </c>
      <c r="T75" s="229"/>
      <c r="U75" s="229">
        <f t="shared" ca="1" si="4"/>
        <v>0</v>
      </c>
      <c r="V75" s="229"/>
      <c r="W75" s="229"/>
      <c r="Y75" s="223" t="str">
        <f t="shared" ca="1" si="5"/>
        <v>GoldJiangxi Copper Co., Ltd.</v>
      </c>
    </row>
    <row r="76" spans="1:25" s="223" customFormat="1" ht="20.25">
      <c r="A76" s="291" t="s">
        <v>1394</v>
      </c>
      <c r="B76" s="292" t="str">
        <f ca="1">IF(LEN(A76)=0,"",INDEX('Smelter Reference List'!$A:$A,MATCH($A76,'Smelter Reference List'!$E:$E,0)))</f>
        <v>Tungsten</v>
      </c>
      <c r="C76" s="298" t="str">
        <f ca="1">IF(LEN(A76)=0,"",INDEX('Smelter Reference List'!$C:$C,MATCH($A76,'Smelter Reference List'!$E:$E,0)))</f>
        <v>Ganzhou Huaxing Tungsten Products Co., Ltd.</v>
      </c>
      <c r="D76" s="292" t="str">
        <f ca="1">IF(ISERROR($S76),"",OFFSET('Smelter Reference List'!$C$4,$S76-4,0)&amp;"")</f>
        <v>Ganzhou Huaxing Tungsten Products Co., Ltd.</v>
      </c>
      <c r="E76" s="292" t="str">
        <f ca="1">IF(ISERROR($S76),"",OFFSET('Smelter Reference List'!$D$4,$S76-4,0)&amp;"")</f>
        <v>CHINA</v>
      </c>
      <c r="F76" s="292" t="str">
        <f ca="1">IF(ISERROR($S76),"",OFFSET('Smelter Reference List'!$E$4,$S76-4,0))</f>
        <v>CID000875</v>
      </c>
      <c r="G76" s="292" t="str">
        <f ca="1">IF(C76=$U$4,"Enter smelter details", IF(ISERROR($S76),"",OFFSET('Smelter Reference List'!$F$4,$S76-4,0)))</f>
        <v>CFSI</v>
      </c>
      <c r="H76" s="293">
        <f ca="1">IF(ISERROR($S76),"",OFFSET('Smelter Reference List'!$G$4,$S76-4,0))</f>
        <v>0</v>
      </c>
      <c r="I76" s="294" t="str">
        <f ca="1">IF(ISERROR($S76),"",OFFSET('Smelter Reference List'!$H$4,$S76-4,0))</f>
        <v>Ganzhou</v>
      </c>
      <c r="J76" s="294" t="str">
        <f ca="1">IF(ISERROR($S76),"",OFFSET('Smelter Reference List'!$I$4,$S76-4,0))</f>
        <v>Jiangxi</v>
      </c>
      <c r="K76" s="295"/>
      <c r="L76" s="295"/>
      <c r="M76" s="295"/>
      <c r="N76" s="295"/>
      <c r="O76" s="295"/>
      <c r="P76" s="295"/>
      <c r="Q76" s="296"/>
      <c r="R76" s="227"/>
      <c r="S76" s="228">
        <f ca="1">IF(C76="",NA(),MATCH($B76&amp;$C76,'Smelter Reference List'!$J:$J,0))</f>
        <v>481</v>
      </c>
      <c r="T76" s="229"/>
      <c r="U76" s="229">
        <f t="shared" ca="1" si="4"/>
        <v>0</v>
      </c>
      <c r="V76" s="229"/>
      <c r="W76" s="229"/>
      <c r="Y76" s="223" t="str">
        <f t="shared" ca="1" si="5"/>
        <v>TungstenGanzhou Huaxing Tungsten Products Co., Ltd.</v>
      </c>
    </row>
    <row r="77" spans="1:25" s="223" customFormat="1" ht="20.25">
      <c r="A77" s="291" t="s">
        <v>1323</v>
      </c>
      <c r="B77" s="292" t="str">
        <f ca="1">IF(LEN(A77)=0,"",INDEX('Smelter Reference List'!$A:$A,MATCH($A77,'Smelter Reference List'!$E:$E,0)))</f>
        <v>Tantalum</v>
      </c>
      <c r="C77" s="298" t="str">
        <f ca="1">IF(LEN(A77)=0,"",INDEX('Smelter Reference List'!$C:$C,MATCH($A77,'Smelter Reference List'!$E:$E,0)))</f>
        <v>JiuJiang JinXin Nonferrous Metals Co., Ltd.</v>
      </c>
      <c r="D77" s="292" t="str">
        <f ca="1">IF(ISERROR($S77),"",OFFSET('Smelter Reference List'!$C$4,$S77-4,0)&amp;"")</f>
        <v>JiuJiang JinXin Nonferrous Metals Co., Ltd.</v>
      </c>
      <c r="E77" s="292" t="str">
        <f ca="1">IF(ISERROR($S77),"",OFFSET('Smelter Reference List'!$D$4,$S77-4,0)&amp;"")</f>
        <v>CHINA</v>
      </c>
      <c r="F77" s="292" t="str">
        <f ca="1">IF(ISERROR($S77),"",OFFSET('Smelter Reference List'!$E$4,$S77-4,0))</f>
        <v>CID000914</v>
      </c>
      <c r="G77" s="292" t="str">
        <f ca="1">IF(C77=$U$4,"Enter smelter details", IF(ISERROR($S77),"",OFFSET('Smelter Reference List'!$F$4,$S77-4,0)))</f>
        <v>CFSI</v>
      </c>
      <c r="H77" s="293">
        <f ca="1">IF(ISERROR($S77),"",OFFSET('Smelter Reference List'!$G$4,$S77-4,0))</f>
        <v>0</v>
      </c>
      <c r="I77" s="294" t="str">
        <f ca="1">IF(ISERROR($S77),"",OFFSET('Smelter Reference List'!$H$4,$S77-4,0))</f>
        <v>Jiujiang</v>
      </c>
      <c r="J77" s="294" t="str">
        <f ca="1">IF(ISERROR($S77),"",OFFSET('Smelter Reference List'!$I$4,$S77-4,0))</f>
        <v>Jiangxi</v>
      </c>
      <c r="K77" s="295"/>
      <c r="L77" s="295"/>
      <c r="M77" s="295"/>
      <c r="N77" s="295"/>
      <c r="O77" s="295"/>
      <c r="P77" s="295"/>
      <c r="Q77" s="296"/>
      <c r="R77" s="227"/>
      <c r="S77" s="228">
        <f ca="1">IF(C77="",NA(),MATCH($B77&amp;$C77,'Smelter Reference List'!$J:$J,0))</f>
        <v>271</v>
      </c>
      <c r="T77" s="229"/>
      <c r="U77" s="229">
        <f t="shared" ca="1" si="4"/>
        <v>0</v>
      </c>
      <c r="V77" s="229"/>
      <c r="W77" s="229"/>
      <c r="Y77" s="223" t="str">
        <f t="shared" ca="1" si="5"/>
        <v>TantalumJiuJiang JinXin Nonferrous Metals Co., Ltd.</v>
      </c>
    </row>
    <row r="78" spans="1:25" s="223" customFormat="1" ht="20.25">
      <c r="A78" s="291" t="s">
        <v>1324</v>
      </c>
      <c r="B78" s="292" t="str">
        <f ca="1">IF(LEN(A78)=0,"",INDEX('Smelter Reference List'!$A:$A,MATCH($A78,'Smelter Reference List'!$E:$E,0)))</f>
        <v>Tantalum</v>
      </c>
      <c r="C78" s="298" t="str">
        <f ca="1">IF(LEN(A78)=0,"",INDEX('Smelter Reference List'!$C:$C,MATCH($A78,'Smelter Reference List'!$E:$E,0)))</f>
        <v>Jiujiang Tanbre Co., Ltd.</v>
      </c>
      <c r="D78" s="292" t="str">
        <f ca="1">IF(ISERROR($S78),"",OFFSET('Smelter Reference List'!$C$4,$S78-4,0)&amp;"")</f>
        <v>Jiujiang Tanbre Co., Ltd.</v>
      </c>
      <c r="E78" s="292" t="str">
        <f ca="1">IF(ISERROR($S78),"",OFFSET('Smelter Reference List'!$D$4,$S78-4,0)&amp;"")</f>
        <v>CHINA</v>
      </c>
      <c r="F78" s="292" t="str">
        <f ca="1">IF(ISERROR($S78),"",OFFSET('Smelter Reference List'!$E$4,$S78-4,0))</f>
        <v>CID000917</v>
      </c>
      <c r="G78" s="292" t="str">
        <f ca="1">IF(C78=$U$4,"Enter smelter details", IF(ISERROR($S78),"",OFFSET('Smelter Reference List'!$F$4,$S78-4,0)))</f>
        <v>CFSI</v>
      </c>
      <c r="H78" s="293">
        <f ca="1">IF(ISERROR($S78),"",OFFSET('Smelter Reference List'!$G$4,$S78-4,0))</f>
        <v>0</v>
      </c>
      <c r="I78" s="294" t="str">
        <f ca="1">IF(ISERROR($S78),"",OFFSET('Smelter Reference List'!$H$4,$S78-4,0))</f>
        <v>Jiujiang</v>
      </c>
      <c r="J78" s="294" t="str">
        <f ca="1">IF(ISERROR($S78),"",OFFSET('Smelter Reference List'!$I$4,$S78-4,0))</f>
        <v>Jiangxi</v>
      </c>
      <c r="K78" s="295"/>
      <c r="L78" s="295"/>
      <c r="M78" s="295"/>
      <c r="N78" s="295"/>
      <c r="O78" s="295"/>
      <c r="P78" s="295"/>
      <c r="Q78" s="296"/>
      <c r="R78" s="227"/>
      <c r="S78" s="228">
        <f ca="1">IF(C78="",NA(),MATCH($B78&amp;$C78,'Smelter Reference List'!$J:$J,0))</f>
        <v>272</v>
      </c>
      <c r="T78" s="229"/>
      <c r="U78" s="229">
        <f t="shared" ca="1" si="4"/>
        <v>0</v>
      </c>
      <c r="V78" s="229"/>
      <c r="W78" s="229"/>
      <c r="Y78" s="223" t="str">
        <f t="shared" ca="1" si="5"/>
        <v>TantalumJiujiang Tanbre Co., Ltd.</v>
      </c>
    </row>
    <row r="79" spans="1:25" s="223" customFormat="1" ht="20.25">
      <c r="A79" s="291" t="s">
        <v>1251</v>
      </c>
      <c r="B79" s="292" t="str">
        <f ca="1">IF(LEN(A79)=0,"",INDEX('Smelter Reference List'!$A:$A,MATCH($A79,'Smelter Reference List'!$E:$E,0)))</f>
        <v>Gold</v>
      </c>
      <c r="C79" s="298" t="str">
        <f ca="1">IF(LEN(A79)=0,"",INDEX('Smelter Reference List'!$C:$C,MATCH($A79,'Smelter Reference List'!$E:$E,0)))</f>
        <v>Asahi Refining USA Inc.</v>
      </c>
      <c r="D79" s="292" t="str">
        <f ca="1">IF(ISERROR($S79),"",OFFSET('Smelter Reference List'!$C$4,$S79-4,0)&amp;"")</f>
        <v>Asahi Refining USA Inc.</v>
      </c>
      <c r="E79" s="292" t="str">
        <f ca="1">IF(ISERROR($S79),"",OFFSET('Smelter Reference List'!$D$4,$S79-4,0)&amp;"")</f>
        <v>UNITED STATES OF AMERICA</v>
      </c>
      <c r="F79" s="292" t="str">
        <f ca="1">IF(ISERROR($S79),"",OFFSET('Smelter Reference List'!$E$4,$S79-4,0))</f>
        <v>CID000920</v>
      </c>
      <c r="G79" s="292" t="str">
        <f ca="1">IF(C79=$U$4,"Enter smelter details", IF(ISERROR($S79),"",OFFSET('Smelter Reference List'!$F$4,$S79-4,0)))</f>
        <v>CFSI</v>
      </c>
      <c r="H79" s="293">
        <f ca="1">IF(ISERROR($S79),"",OFFSET('Smelter Reference List'!$G$4,$S79-4,0))</f>
        <v>0</v>
      </c>
      <c r="I79" s="294" t="str">
        <f ca="1">IF(ISERROR($S79),"",OFFSET('Smelter Reference List'!$H$4,$S79-4,0))</f>
        <v>Salt Lake City</v>
      </c>
      <c r="J79" s="294" t="str">
        <f ca="1">IF(ISERROR($S79),"",OFFSET('Smelter Reference List'!$I$4,$S79-4,0))</f>
        <v>Utah</v>
      </c>
      <c r="K79" s="295"/>
      <c r="L79" s="295"/>
      <c r="M79" s="295"/>
      <c r="N79" s="295"/>
      <c r="O79" s="295"/>
      <c r="P79" s="295"/>
      <c r="Q79" s="296"/>
      <c r="R79" s="227"/>
      <c r="S79" s="228">
        <f ca="1">IF(C79="",NA(),MATCH($B79&amp;$C79,'Smelter Reference List'!$J:$J,0))</f>
        <v>21</v>
      </c>
      <c r="T79" s="229"/>
      <c r="U79" s="229">
        <f t="shared" ca="1" si="4"/>
        <v>0</v>
      </c>
      <c r="V79" s="229"/>
      <c r="W79" s="229"/>
      <c r="Y79" s="223" t="str">
        <f t="shared" ca="1" si="5"/>
        <v>GoldAsahi Refining USA Inc.</v>
      </c>
    </row>
    <row r="80" spans="1:25" s="223" customFormat="1" ht="20.25">
      <c r="A80" s="291" t="s">
        <v>1252</v>
      </c>
      <c r="B80" s="292" t="str">
        <f ca="1">IF(LEN(A80)=0,"",INDEX('Smelter Reference List'!$A:$A,MATCH($A80,'Smelter Reference List'!$E:$E,0)))</f>
        <v>Gold</v>
      </c>
      <c r="C80" s="298" t="str">
        <f ca="1">IF(LEN(A80)=0,"",INDEX('Smelter Reference List'!$C:$C,MATCH($A80,'Smelter Reference List'!$E:$E,0)))</f>
        <v>Asahi Refining Canada Ltd.</v>
      </c>
      <c r="D80" s="292" t="str">
        <f ca="1">IF(ISERROR($S80),"",OFFSET('Smelter Reference List'!$C$4,$S80-4,0)&amp;"")</f>
        <v>Asahi Refining Canada Ltd.</v>
      </c>
      <c r="E80" s="292" t="str">
        <f ca="1">IF(ISERROR($S80),"",OFFSET('Smelter Reference List'!$D$4,$S80-4,0)&amp;"")</f>
        <v>CANADA</v>
      </c>
      <c r="F80" s="292" t="str">
        <f ca="1">IF(ISERROR($S80),"",OFFSET('Smelter Reference List'!$E$4,$S80-4,0))</f>
        <v>CID000924</v>
      </c>
      <c r="G80" s="292" t="str">
        <f ca="1">IF(C80=$U$4,"Enter smelter details", IF(ISERROR($S80),"",OFFSET('Smelter Reference List'!$F$4,$S80-4,0)))</f>
        <v>CFSI</v>
      </c>
      <c r="H80" s="293">
        <f ca="1">IF(ISERROR($S80),"",OFFSET('Smelter Reference List'!$G$4,$S80-4,0))</f>
        <v>0</v>
      </c>
      <c r="I80" s="294" t="str">
        <f ca="1">IF(ISERROR($S80),"",OFFSET('Smelter Reference List'!$H$4,$S80-4,0))</f>
        <v>Brampton</v>
      </c>
      <c r="J80" s="294" t="str">
        <f ca="1">IF(ISERROR($S80),"",OFFSET('Smelter Reference List'!$I$4,$S80-4,0))</f>
        <v>Ontario</v>
      </c>
      <c r="K80" s="295"/>
      <c r="L80" s="295"/>
      <c r="M80" s="295"/>
      <c r="N80" s="295"/>
      <c r="O80" s="295"/>
      <c r="P80" s="295"/>
      <c r="Q80" s="296"/>
      <c r="R80" s="227"/>
      <c r="S80" s="228">
        <f ca="1">IF(C80="",NA(),MATCH($B80&amp;$C80,'Smelter Reference List'!$J:$J,0))</f>
        <v>20</v>
      </c>
      <c r="T80" s="229"/>
      <c r="U80" s="229">
        <f t="shared" ca="1" si="4"/>
        <v>0</v>
      </c>
      <c r="V80" s="229"/>
      <c r="W80" s="229"/>
      <c r="Y80" s="223" t="str">
        <f t="shared" ca="1" si="5"/>
        <v>GoldAsahi Refining Canada Ltd.</v>
      </c>
    </row>
    <row r="81" spans="1:25" s="223" customFormat="1" ht="20.25">
      <c r="A81" s="291" t="s">
        <v>1253</v>
      </c>
      <c r="B81" s="292" t="str">
        <f ca="1">IF(LEN(A81)=0,"",INDEX('Smelter Reference List'!$A:$A,MATCH($A81,'Smelter Reference List'!$E:$E,0)))</f>
        <v>Gold</v>
      </c>
      <c r="C81" s="298" t="str">
        <f ca="1">IF(LEN(A81)=0,"",INDEX('Smelter Reference List'!$C:$C,MATCH($A81,'Smelter Reference List'!$E:$E,0)))</f>
        <v>JSC Ekaterinburg Non-Ferrous Metal Processing Plant</v>
      </c>
      <c r="D81" s="292" t="str">
        <f ca="1">IF(ISERROR($S81),"",OFFSET('Smelter Reference List'!$C$4,$S81-4,0)&amp;"")</f>
        <v>JSC Ekaterinburg Non-Ferrous Metal Processing Plant</v>
      </c>
      <c r="E81" s="292" t="str">
        <f ca="1">IF(ISERROR($S81),"",OFFSET('Smelter Reference List'!$D$4,$S81-4,0)&amp;"")</f>
        <v>RUSSIAN FEDERATION</v>
      </c>
      <c r="F81" s="292" t="str">
        <f ca="1">IF(ISERROR($S81),"",OFFSET('Smelter Reference List'!$E$4,$S81-4,0))</f>
        <v>CID000927</v>
      </c>
      <c r="G81" s="292" t="str">
        <f ca="1">IF(C81=$U$4,"Enter smelter details", IF(ISERROR($S81),"",OFFSET('Smelter Reference List'!$F$4,$S81-4,0)))</f>
        <v>CFSI</v>
      </c>
      <c r="H81" s="293">
        <f ca="1">IF(ISERROR($S81),"",OFFSET('Smelter Reference List'!$G$4,$S81-4,0))</f>
        <v>0</v>
      </c>
      <c r="I81" s="294" t="str">
        <f ca="1">IF(ISERROR($S81),"",OFFSET('Smelter Reference List'!$H$4,$S81-4,0))</f>
        <v>Verkhnyaya Pyshma</v>
      </c>
      <c r="J81" s="294" t="str">
        <f ca="1">IF(ISERROR($S81),"",OFFSET('Smelter Reference List'!$I$4,$S81-4,0))</f>
        <v>Sverdlovsk</v>
      </c>
      <c r="K81" s="295"/>
      <c r="L81" s="295"/>
      <c r="M81" s="295"/>
      <c r="N81" s="295"/>
      <c r="O81" s="295"/>
      <c r="P81" s="295"/>
      <c r="Q81" s="296"/>
      <c r="R81" s="227"/>
      <c r="S81" s="228">
        <f ca="1">IF(C81="",NA(),MATCH($B81&amp;$C81,'Smelter Reference List'!$J:$J,0))</f>
        <v>92</v>
      </c>
      <c r="T81" s="229"/>
      <c r="U81" s="229">
        <f t="shared" ca="1" si="4"/>
        <v>0</v>
      </c>
      <c r="V81" s="229"/>
      <c r="W81" s="229"/>
      <c r="Y81" s="223" t="str">
        <f t="shared" ca="1" si="5"/>
        <v>GoldJSC Ekaterinburg Non-Ferrous Metal Processing Plant</v>
      </c>
    </row>
    <row r="82" spans="1:25" s="223" customFormat="1" ht="20.25">
      <c r="A82" s="291" t="s">
        <v>1254</v>
      </c>
      <c r="B82" s="292" t="str">
        <f ca="1">IF(LEN(A82)=0,"",INDEX('Smelter Reference List'!$A:$A,MATCH($A82,'Smelter Reference List'!$E:$E,0)))</f>
        <v>Gold</v>
      </c>
      <c r="C82" s="298" t="str">
        <f ca="1">IF(LEN(A82)=0,"",INDEX('Smelter Reference List'!$C:$C,MATCH($A82,'Smelter Reference List'!$E:$E,0)))</f>
        <v>JSC Uralelectromed</v>
      </c>
      <c r="D82" s="292" t="str">
        <f ca="1">IF(ISERROR($S82),"",OFFSET('Smelter Reference List'!$C$4,$S82-4,0)&amp;"")</f>
        <v>JSC Uralelectromed</v>
      </c>
      <c r="E82" s="292" t="str">
        <f ca="1">IF(ISERROR($S82),"",OFFSET('Smelter Reference List'!$D$4,$S82-4,0)&amp;"")</f>
        <v>RUSSIAN FEDERATION</v>
      </c>
      <c r="F82" s="292" t="str">
        <f ca="1">IF(ISERROR($S82),"",OFFSET('Smelter Reference List'!$E$4,$S82-4,0))</f>
        <v>CID000929</v>
      </c>
      <c r="G82" s="292" t="str">
        <f ca="1">IF(C82=$U$4,"Enter smelter details", IF(ISERROR($S82),"",OFFSET('Smelter Reference List'!$F$4,$S82-4,0)))</f>
        <v>CFSI</v>
      </c>
      <c r="H82" s="293">
        <f ca="1">IF(ISERROR($S82),"",OFFSET('Smelter Reference List'!$G$4,$S82-4,0))</f>
        <v>0</v>
      </c>
      <c r="I82" s="294" t="str">
        <f ca="1">IF(ISERROR($S82),"",OFFSET('Smelter Reference List'!$H$4,$S82-4,0))</f>
        <v>Verkhnyaya Pyshma</v>
      </c>
      <c r="J82" s="294" t="str">
        <f ca="1">IF(ISERROR($S82),"",OFFSET('Smelter Reference List'!$I$4,$S82-4,0))</f>
        <v>Sverdlovsk</v>
      </c>
      <c r="K82" s="295"/>
      <c r="L82" s="295"/>
      <c r="M82" s="295"/>
      <c r="N82" s="295"/>
      <c r="O82" s="295"/>
      <c r="P82" s="295"/>
      <c r="Q82" s="296"/>
      <c r="R82" s="227"/>
      <c r="S82" s="228">
        <f ca="1">IF(C82="",NA(),MATCH($B82&amp;$C82,'Smelter Reference List'!$J:$J,0))</f>
        <v>93</v>
      </c>
      <c r="T82" s="229"/>
      <c r="U82" s="229">
        <f t="shared" ca="1" si="4"/>
        <v>0</v>
      </c>
      <c r="V82" s="229"/>
      <c r="W82" s="229"/>
      <c r="Y82" s="223" t="str">
        <f t="shared" ca="1" si="5"/>
        <v>GoldJSC Uralelectromed</v>
      </c>
    </row>
    <row r="83" spans="1:25" s="223" customFormat="1" ht="20.25">
      <c r="A83" s="291" t="s">
        <v>1255</v>
      </c>
      <c r="B83" s="292" t="str">
        <f ca="1">IF(LEN(A83)=0,"",INDEX('Smelter Reference List'!$A:$A,MATCH($A83,'Smelter Reference List'!$E:$E,0)))</f>
        <v>Gold</v>
      </c>
      <c r="C83" s="298" t="str">
        <f ca="1">IF(LEN(A83)=0,"",INDEX('Smelter Reference List'!$C:$C,MATCH($A83,'Smelter Reference List'!$E:$E,0)))</f>
        <v>JX Nippon Mining &amp; Metals Co., Ltd.</v>
      </c>
      <c r="D83" s="292" t="str">
        <f ca="1">IF(ISERROR($S83),"",OFFSET('Smelter Reference List'!$C$4,$S83-4,0)&amp;"")</f>
        <v>JX Nippon Mining &amp; Metals Co., Ltd.</v>
      </c>
      <c r="E83" s="292" t="str">
        <f ca="1">IF(ISERROR($S83),"",OFFSET('Smelter Reference List'!$D$4,$S83-4,0)&amp;"")</f>
        <v>JAPAN</v>
      </c>
      <c r="F83" s="292" t="str">
        <f ca="1">IF(ISERROR($S83),"",OFFSET('Smelter Reference List'!$E$4,$S83-4,0))</f>
        <v>CID000937</v>
      </c>
      <c r="G83" s="292" t="str">
        <f ca="1">IF(C83=$U$4,"Enter smelter details", IF(ISERROR($S83),"",OFFSET('Smelter Reference List'!$F$4,$S83-4,0)))</f>
        <v>CFSI</v>
      </c>
      <c r="H83" s="293">
        <f ca="1">IF(ISERROR($S83),"",OFFSET('Smelter Reference List'!$G$4,$S83-4,0))</f>
        <v>0</v>
      </c>
      <c r="I83" s="294" t="str">
        <f ca="1">IF(ISERROR($S83),"",OFFSET('Smelter Reference List'!$H$4,$S83-4,0))</f>
        <v>Ōita</v>
      </c>
      <c r="J83" s="294" t="str">
        <f ca="1">IF(ISERROR($S83),"",OFFSET('Smelter Reference List'!$I$4,$S83-4,0))</f>
        <v>Ōita</v>
      </c>
      <c r="K83" s="295"/>
      <c r="L83" s="295"/>
      <c r="M83" s="295"/>
      <c r="N83" s="295"/>
      <c r="O83" s="295"/>
      <c r="P83" s="295"/>
      <c r="Q83" s="296"/>
      <c r="R83" s="227"/>
      <c r="S83" s="228">
        <f ca="1">IF(C83="",NA(),MATCH($B83&amp;$C83,'Smelter Reference List'!$J:$J,0))</f>
        <v>94</v>
      </c>
      <c r="T83" s="229"/>
      <c r="U83" s="229">
        <f t="shared" ca="1" si="4"/>
        <v>0</v>
      </c>
      <c r="V83" s="229"/>
      <c r="W83" s="229"/>
      <c r="Y83" s="223" t="str">
        <f t="shared" ca="1" si="5"/>
        <v>GoldJX Nippon Mining &amp; Metals Co., Ltd.</v>
      </c>
    </row>
    <row r="84" spans="1:25" s="223" customFormat="1" ht="20.25">
      <c r="A84" s="291" t="s">
        <v>1352</v>
      </c>
      <c r="B84" s="292" t="str">
        <f ca="1">IF(LEN(A84)=0,"",INDEX('Smelter Reference List'!$A:$A,MATCH($A84,'Smelter Reference List'!$E:$E,0)))</f>
        <v>Tin</v>
      </c>
      <c r="C84" s="298" t="str">
        <f ca="1">IF(LEN(A84)=0,"",INDEX('Smelter Reference List'!$C:$C,MATCH($A84,'Smelter Reference List'!$E:$E,0)))</f>
        <v>Gejiu Kai Meng Industry and Trade LLC</v>
      </c>
      <c r="D84" s="292" t="str">
        <f ca="1">IF(ISERROR($S84),"",OFFSET('Smelter Reference List'!$C$4,$S84-4,0)&amp;"")</f>
        <v>Gejiu Kai Meng Industry and Trade LLC</v>
      </c>
      <c r="E84" s="292" t="str">
        <f ca="1">IF(ISERROR($S84),"",OFFSET('Smelter Reference List'!$D$4,$S84-4,0)&amp;"")</f>
        <v>CHINA</v>
      </c>
      <c r="F84" s="292" t="str">
        <f ca="1">IF(ISERROR($S84),"",OFFSET('Smelter Reference List'!$E$4,$S84-4,0))</f>
        <v>CID000942</v>
      </c>
      <c r="G84" s="292" t="str">
        <f ca="1">IF(C84=$U$4,"Enter smelter details", IF(ISERROR($S84),"",OFFSET('Smelter Reference List'!$F$4,$S84-4,0)))</f>
        <v>CFSI</v>
      </c>
      <c r="H84" s="293">
        <f ca="1">IF(ISERROR($S84),"",OFFSET('Smelter Reference List'!$G$4,$S84-4,0))</f>
        <v>0</v>
      </c>
      <c r="I84" s="294" t="str">
        <f ca="1">IF(ISERROR($S84),"",OFFSET('Smelter Reference List'!$H$4,$S84-4,0))</f>
        <v>Gejiu</v>
      </c>
      <c r="J84" s="294" t="str">
        <f ca="1">IF(ISERROR($S84),"",OFFSET('Smelter Reference List'!$I$4,$S84-4,0))</f>
        <v>Yunnan</v>
      </c>
      <c r="K84" s="295"/>
      <c r="L84" s="295"/>
      <c r="M84" s="295"/>
      <c r="N84" s="295"/>
      <c r="O84" s="295"/>
      <c r="P84" s="295"/>
      <c r="Q84" s="296"/>
      <c r="R84" s="227"/>
      <c r="S84" s="228">
        <f ca="1">IF(C84="",NA(),MATCH($B84&amp;$C84,'Smelter Reference List'!$J:$J,0))</f>
        <v>357</v>
      </c>
      <c r="T84" s="229"/>
      <c r="U84" s="229">
        <f t="shared" ca="1" si="4"/>
        <v>0</v>
      </c>
      <c r="V84" s="229"/>
      <c r="W84" s="229"/>
      <c r="Y84" s="223" t="str">
        <f t="shared" ca="1" si="5"/>
        <v>TinGejiu Kai Meng Industry and Trade LLC</v>
      </c>
    </row>
    <row r="85" spans="1:25" s="223" customFormat="1" ht="20.25">
      <c r="A85" s="291" t="s">
        <v>1256</v>
      </c>
      <c r="B85" s="292" t="str">
        <f ca="1">IF(LEN(A85)=0,"",INDEX('Smelter Reference List'!$A:$A,MATCH($A85,'Smelter Reference List'!$E:$E,0)))</f>
        <v>Gold</v>
      </c>
      <c r="C85" s="298" t="str">
        <f ca="1">IF(LEN(A85)=0,"",INDEX('Smelter Reference List'!$C:$C,MATCH($A85,'Smelter Reference List'!$E:$E,0)))</f>
        <v>Kazzinc</v>
      </c>
      <c r="D85" s="292" t="str">
        <f ca="1">IF(ISERROR($S85),"",OFFSET('Smelter Reference List'!$C$4,$S85-4,0)&amp;"")</f>
        <v>Kazzinc</v>
      </c>
      <c r="E85" s="292" t="str">
        <f ca="1">IF(ISERROR($S85),"",OFFSET('Smelter Reference List'!$D$4,$S85-4,0)&amp;"")</f>
        <v>KAZAKHSTAN</v>
      </c>
      <c r="F85" s="292" t="str">
        <f ca="1">IF(ISERROR($S85),"",OFFSET('Smelter Reference List'!$E$4,$S85-4,0))</f>
        <v>CID000957</v>
      </c>
      <c r="G85" s="292" t="str">
        <f ca="1">IF(C85=$U$4,"Enter smelter details", IF(ISERROR($S85),"",OFFSET('Smelter Reference List'!$F$4,$S85-4,0)))</f>
        <v>CFSI</v>
      </c>
      <c r="H85" s="293">
        <f ca="1">IF(ISERROR($S85),"",OFFSET('Smelter Reference List'!$G$4,$S85-4,0))</f>
        <v>0</v>
      </c>
      <c r="I85" s="294" t="str">
        <f ca="1">IF(ISERROR($S85),"",OFFSET('Smelter Reference List'!$H$4,$S85-4,0))</f>
        <v>Ust-Kamenogorsk</v>
      </c>
      <c r="J85" s="294" t="str">
        <f ca="1">IF(ISERROR($S85),"",OFFSET('Smelter Reference List'!$I$4,$S85-4,0))</f>
        <v>East Kazakhstan</v>
      </c>
      <c r="K85" s="295"/>
      <c r="L85" s="295"/>
      <c r="M85" s="295"/>
      <c r="N85" s="295"/>
      <c r="O85" s="295"/>
      <c r="P85" s="295"/>
      <c r="Q85" s="296"/>
      <c r="R85" s="227"/>
      <c r="S85" s="228">
        <f ca="1">IF(C85="",NA(),MATCH($B85&amp;$C85,'Smelter Reference List'!$J:$J,0))</f>
        <v>97</v>
      </c>
      <c r="T85" s="229"/>
      <c r="U85" s="229">
        <f t="shared" ca="1" si="4"/>
        <v>0</v>
      </c>
      <c r="V85" s="229"/>
      <c r="W85" s="229"/>
      <c r="Y85" s="223" t="str">
        <f t="shared" ca="1" si="5"/>
        <v>GoldKazzinc</v>
      </c>
    </row>
    <row r="86" spans="1:25" s="223" customFormat="1" ht="20.25">
      <c r="A86" s="291" t="s">
        <v>1395</v>
      </c>
      <c r="B86" s="292" t="str">
        <f ca="1">IF(LEN(A86)=0,"",INDEX('Smelter Reference List'!$A:$A,MATCH($A86,'Smelter Reference List'!$E:$E,0)))</f>
        <v>Tungsten</v>
      </c>
      <c r="C86" s="298" t="str">
        <f ca="1">IF(LEN(A86)=0,"",INDEX('Smelter Reference List'!$C:$C,MATCH($A86,'Smelter Reference List'!$E:$E,0)))</f>
        <v>Kennametal Fallon</v>
      </c>
      <c r="D86" s="292" t="str">
        <f ca="1">IF(ISERROR($S86),"",OFFSET('Smelter Reference List'!$C$4,$S86-4,0)&amp;"")</f>
        <v>Kennametal Fallon</v>
      </c>
      <c r="E86" s="292" t="str">
        <f ca="1">IF(ISERROR($S86),"",OFFSET('Smelter Reference List'!$D$4,$S86-4,0)&amp;"")</f>
        <v>UNITED STATES OF AMERICA</v>
      </c>
      <c r="F86" s="292" t="str">
        <f ca="1">IF(ISERROR($S86),"",OFFSET('Smelter Reference List'!$E$4,$S86-4,0))</f>
        <v>CID000966</v>
      </c>
      <c r="G86" s="292" t="str">
        <f ca="1">IF(C86=$U$4,"Enter smelter details", IF(ISERROR($S86),"",OFFSET('Smelter Reference List'!$F$4,$S86-4,0)))</f>
        <v>CFSI</v>
      </c>
      <c r="H86" s="293">
        <f ca="1">IF(ISERROR($S86),"",OFFSET('Smelter Reference List'!$G$4,$S86-4,0))</f>
        <v>0</v>
      </c>
      <c r="I86" s="294" t="str">
        <f ca="1">IF(ISERROR($S86),"",OFFSET('Smelter Reference List'!$H$4,$S86-4,0))</f>
        <v>Fallon</v>
      </c>
      <c r="J86" s="294" t="str">
        <f ca="1">IF(ISERROR($S86),"",OFFSET('Smelter Reference List'!$I$4,$S86-4,0))</f>
        <v>Nevada</v>
      </c>
      <c r="K86" s="295"/>
      <c r="L86" s="295"/>
      <c r="M86" s="295"/>
      <c r="N86" s="295"/>
      <c r="O86" s="295"/>
      <c r="P86" s="295"/>
      <c r="Q86" s="296"/>
      <c r="R86" s="227"/>
      <c r="S86" s="228">
        <f ca="1">IF(C86="",NA(),MATCH($B86&amp;$C86,'Smelter Reference List'!$J:$J,0))</f>
        <v>507</v>
      </c>
      <c r="T86" s="229"/>
      <c r="U86" s="229">
        <f t="shared" ca="1" si="4"/>
        <v>0</v>
      </c>
      <c r="V86" s="229"/>
      <c r="W86" s="229"/>
      <c r="Y86" s="223" t="str">
        <f t="shared" ca="1" si="5"/>
        <v>TungstenKennametal Fallon</v>
      </c>
    </row>
    <row r="87" spans="1:25" s="223" customFormat="1" ht="20.25">
      <c r="A87" s="291" t="s">
        <v>1258</v>
      </c>
      <c r="B87" s="292" t="str">
        <f ca="1">IF(LEN(A87)=0,"",INDEX('Smelter Reference List'!$A:$A,MATCH($A87,'Smelter Reference List'!$E:$E,0)))</f>
        <v>Gold</v>
      </c>
      <c r="C87" s="298" t="str">
        <f ca="1">IF(LEN(A87)=0,"",INDEX('Smelter Reference List'!$C:$C,MATCH($A87,'Smelter Reference List'!$E:$E,0)))</f>
        <v>Kennecott Utah Copper LLC</v>
      </c>
      <c r="D87" s="292" t="str">
        <f ca="1">IF(ISERROR($S87),"",OFFSET('Smelter Reference List'!$C$4,$S87-4,0)&amp;"")</f>
        <v>Kennecott Utah Copper LLC</v>
      </c>
      <c r="E87" s="292" t="str">
        <f ca="1">IF(ISERROR($S87),"",OFFSET('Smelter Reference List'!$D$4,$S87-4,0)&amp;"")</f>
        <v>UNITED STATES OF AMERICA</v>
      </c>
      <c r="F87" s="292" t="str">
        <f ca="1">IF(ISERROR($S87),"",OFFSET('Smelter Reference List'!$E$4,$S87-4,0))</f>
        <v>CID000969</v>
      </c>
      <c r="G87" s="292" t="str">
        <f ca="1">IF(C87=$U$4,"Enter smelter details", IF(ISERROR($S87),"",OFFSET('Smelter Reference List'!$F$4,$S87-4,0)))</f>
        <v>CFSI</v>
      </c>
      <c r="H87" s="293">
        <f ca="1">IF(ISERROR($S87),"",OFFSET('Smelter Reference List'!$G$4,$S87-4,0))</f>
        <v>0</v>
      </c>
      <c r="I87" s="294" t="str">
        <f ca="1">IF(ISERROR($S87),"",OFFSET('Smelter Reference List'!$H$4,$S87-4,0))</f>
        <v>Magna</v>
      </c>
      <c r="J87" s="294" t="str">
        <f ca="1">IF(ISERROR($S87),"",OFFSET('Smelter Reference List'!$I$4,$S87-4,0))</f>
        <v>Utah</v>
      </c>
      <c r="K87" s="295"/>
      <c r="L87" s="295"/>
      <c r="M87" s="295"/>
      <c r="N87" s="295"/>
      <c r="O87" s="295"/>
      <c r="P87" s="295"/>
      <c r="Q87" s="296"/>
      <c r="R87" s="227"/>
      <c r="S87" s="228">
        <f ca="1">IF(C87="",NA(),MATCH($B87&amp;$C87,'Smelter Reference List'!$J:$J,0))</f>
        <v>98</v>
      </c>
      <c r="T87" s="229"/>
      <c r="U87" s="229">
        <f t="shared" ca="1" si="4"/>
        <v>0</v>
      </c>
      <c r="V87" s="229"/>
      <c r="W87" s="229"/>
      <c r="Y87" s="223" t="str">
        <f t="shared" ca="1" si="5"/>
        <v>GoldKennecott Utah Copper LLC</v>
      </c>
    </row>
    <row r="88" spans="1:25" s="223" customFormat="1" ht="20.25">
      <c r="A88" s="291" t="s">
        <v>1325</v>
      </c>
      <c r="B88" s="292" t="str">
        <f ca="1">IF(LEN(A88)=0,"",INDEX('Smelter Reference List'!$A:$A,MATCH($A88,'Smelter Reference List'!$E:$E,0)))</f>
        <v>Tantalum</v>
      </c>
      <c r="C88" s="298" t="str">
        <f ca="1">IF(LEN(A88)=0,"",INDEX('Smelter Reference List'!$C:$C,MATCH($A88,'Smelter Reference List'!$E:$E,0)))</f>
        <v>King-Tan Tantalum Industry Ltd.</v>
      </c>
      <c r="D88" s="292" t="str">
        <f ca="1">IF(ISERROR($S88),"",OFFSET('Smelter Reference List'!$C$4,$S88-4,0)&amp;"")</f>
        <v>King-Tan Tantalum Industry Ltd.</v>
      </c>
      <c r="E88" s="292" t="str">
        <f ca="1">IF(ISERROR($S88),"",OFFSET('Smelter Reference List'!$D$4,$S88-4,0)&amp;"")</f>
        <v>CHINA</v>
      </c>
      <c r="F88" s="292" t="str">
        <f ca="1">IF(ISERROR($S88),"",OFFSET('Smelter Reference List'!$E$4,$S88-4,0))</f>
        <v>CID000973</v>
      </c>
      <c r="G88" s="292" t="str">
        <f ca="1">IF(C88=$U$4,"Enter smelter details", IF(ISERROR($S88),"",OFFSET('Smelter Reference List'!$F$4,$S88-4,0)))</f>
        <v>CFSI</v>
      </c>
      <c r="H88" s="293">
        <f ca="1">IF(ISERROR($S88),"",OFFSET('Smelter Reference List'!$G$4,$S88-4,0))</f>
        <v>0</v>
      </c>
      <c r="I88" s="294" t="str">
        <f ca="1">IF(ISERROR($S88),"",OFFSET('Smelter Reference List'!$H$4,$S88-4,0))</f>
        <v>Yifeng</v>
      </c>
      <c r="J88" s="294" t="str">
        <f ca="1">IF(ISERROR($S88),"",OFFSET('Smelter Reference List'!$I$4,$S88-4,0))</f>
        <v>Jiangxi</v>
      </c>
      <c r="K88" s="295"/>
      <c r="L88" s="295"/>
      <c r="M88" s="295"/>
      <c r="N88" s="295"/>
      <c r="O88" s="295"/>
      <c r="P88" s="295"/>
      <c r="Q88" s="296"/>
      <c r="R88" s="227"/>
      <c r="S88" s="228">
        <f ca="1">IF(C88="",NA(),MATCH($B88&amp;$C88,'Smelter Reference List'!$J:$J,0))</f>
        <v>276</v>
      </c>
      <c r="T88" s="229"/>
      <c r="U88" s="229">
        <f t="shared" ca="1" si="4"/>
        <v>0</v>
      </c>
      <c r="V88" s="229"/>
      <c r="W88" s="229"/>
      <c r="Y88" s="223" t="str">
        <f t="shared" ca="1" si="5"/>
        <v>TantalumKing-Tan Tantalum Industry Ltd.</v>
      </c>
    </row>
    <row r="89" spans="1:25" s="223" customFormat="1" ht="20.25">
      <c r="A89" s="291" t="s">
        <v>1259</v>
      </c>
      <c r="B89" s="292" t="str">
        <f ca="1">IF(LEN(A89)=0,"",INDEX('Smelter Reference List'!$A:$A,MATCH($A89,'Smelter Reference List'!$E:$E,0)))</f>
        <v>Gold</v>
      </c>
      <c r="C89" s="298" t="str">
        <f ca="1">IF(LEN(A89)=0,"",INDEX('Smelter Reference List'!$C:$C,MATCH($A89,'Smelter Reference List'!$E:$E,0)))</f>
        <v>Kojima Chemicals Co., Ltd.</v>
      </c>
      <c r="D89" s="292" t="str">
        <f ca="1">IF(ISERROR($S89),"",OFFSET('Smelter Reference List'!$C$4,$S89-4,0)&amp;"")</f>
        <v>Kojima Chemicals Co., Ltd.</v>
      </c>
      <c r="E89" s="292" t="str">
        <f ca="1">IF(ISERROR($S89),"",OFFSET('Smelter Reference List'!$D$4,$S89-4,0)&amp;"")</f>
        <v>JAPAN</v>
      </c>
      <c r="F89" s="292" t="str">
        <f ca="1">IF(ISERROR($S89),"",OFFSET('Smelter Reference List'!$E$4,$S89-4,0))</f>
        <v>CID000981</v>
      </c>
      <c r="G89" s="292" t="str">
        <f ca="1">IF(C89=$U$4,"Enter smelter details", IF(ISERROR($S89),"",OFFSET('Smelter Reference List'!$F$4,$S89-4,0)))</f>
        <v>CFSI</v>
      </c>
      <c r="H89" s="293">
        <f ca="1">IF(ISERROR($S89),"",OFFSET('Smelter Reference List'!$G$4,$S89-4,0))</f>
        <v>0</v>
      </c>
      <c r="I89" s="294" t="str">
        <f ca="1">IF(ISERROR($S89),"",OFFSET('Smelter Reference List'!$H$4,$S89-4,0))</f>
        <v>Sayama</v>
      </c>
      <c r="J89" s="294" t="str">
        <f ca="1">IF(ISERROR($S89),"",OFFSET('Smelter Reference List'!$I$4,$S89-4,0))</f>
        <v>Saitama</v>
      </c>
      <c r="K89" s="295"/>
      <c r="L89" s="295"/>
      <c r="M89" s="295"/>
      <c r="N89" s="295"/>
      <c r="O89" s="295"/>
      <c r="P89" s="295"/>
      <c r="Q89" s="296"/>
      <c r="R89" s="227"/>
      <c r="S89" s="228">
        <f ca="1">IF(C89="",NA(),MATCH($B89&amp;$C89,'Smelter Reference List'!$J:$J,0))</f>
        <v>100</v>
      </c>
      <c r="T89" s="229"/>
      <c r="U89" s="229">
        <f t="shared" ca="1" si="4"/>
        <v>0</v>
      </c>
      <c r="V89" s="229"/>
      <c r="W89" s="229"/>
      <c r="Y89" s="223" t="str">
        <f t="shared" ca="1" si="5"/>
        <v>GoldKojima Chemicals Co., Ltd.</v>
      </c>
    </row>
    <row r="90" spans="1:25" s="223" customFormat="1" ht="20.25">
      <c r="A90" s="291" t="s">
        <v>1260</v>
      </c>
      <c r="B90" s="292" t="str">
        <f ca="1">IF(LEN(A90)=0,"",INDEX('Smelter Reference List'!$A:$A,MATCH($A90,'Smelter Reference List'!$E:$E,0)))</f>
        <v>Gold</v>
      </c>
      <c r="C90" s="298" t="str">
        <f ca="1">IF(LEN(A90)=0,"",INDEX('Smelter Reference List'!$C:$C,MATCH($A90,'Smelter Reference List'!$E:$E,0)))</f>
        <v>Kyrgyzaltyn JSC</v>
      </c>
      <c r="D90" s="292" t="str">
        <f ca="1">IF(ISERROR($S90),"",OFFSET('Smelter Reference List'!$C$4,$S90-4,0)&amp;"")</f>
        <v>Kyrgyzaltyn JSC</v>
      </c>
      <c r="E90" s="292" t="str">
        <f ca="1">IF(ISERROR($S90),"",OFFSET('Smelter Reference List'!$D$4,$S90-4,0)&amp;"")</f>
        <v>KYRGYZSTAN</v>
      </c>
      <c r="F90" s="292" t="str">
        <f ca="1">IF(ISERROR($S90),"",OFFSET('Smelter Reference List'!$E$4,$S90-4,0))</f>
        <v>CID001029</v>
      </c>
      <c r="G90" s="292" t="str">
        <f ca="1">IF(C90=$U$4,"Enter smelter details", IF(ISERROR($S90),"",OFFSET('Smelter Reference List'!$F$4,$S90-4,0)))</f>
        <v>CFSI</v>
      </c>
      <c r="H90" s="293">
        <f ca="1">IF(ISERROR($S90),"",OFFSET('Smelter Reference List'!$G$4,$S90-4,0))</f>
        <v>0</v>
      </c>
      <c r="I90" s="294" t="str">
        <f ca="1">IF(ISERROR($S90),"",OFFSET('Smelter Reference List'!$H$4,$S90-4,0))</f>
        <v>Bishkek</v>
      </c>
      <c r="J90" s="294" t="str">
        <f ca="1">IF(ISERROR($S90),"",OFFSET('Smelter Reference List'!$I$4,$S90-4,0))</f>
        <v>Chuy Province</v>
      </c>
      <c r="K90" s="295"/>
      <c r="L90" s="295"/>
      <c r="M90" s="295"/>
      <c r="N90" s="295"/>
      <c r="O90" s="295"/>
      <c r="P90" s="295"/>
      <c r="Q90" s="296"/>
      <c r="R90" s="227"/>
      <c r="S90" s="228">
        <f ca="1">IF(C90="",NA(),MATCH($B90&amp;$C90,'Smelter Reference List'!$J:$J,0))</f>
        <v>104</v>
      </c>
      <c r="T90" s="229"/>
      <c r="U90" s="229">
        <f t="shared" ca="1" si="4"/>
        <v>0</v>
      </c>
      <c r="V90" s="229"/>
      <c r="W90" s="229"/>
      <c r="Y90" s="223" t="str">
        <f t="shared" ca="1" si="5"/>
        <v>GoldKyrgyzaltyn JSC</v>
      </c>
    </row>
    <row r="91" spans="1:25" s="223" customFormat="1" ht="20.25">
      <c r="A91" s="291" t="s">
        <v>1261</v>
      </c>
      <c r="B91" s="292" t="str">
        <f ca="1">IF(LEN(A91)=0,"",INDEX('Smelter Reference List'!$A:$A,MATCH($A91,'Smelter Reference List'!$E:$E,0)))</f>
        <v>Gold</v>
      </c>
      <c r="C91" s="298" t="str">
        <f ca="1">IF(LEN(A91)=0,"",INDEX('Smelter Reference List'!$C:$C,MATCH($A91,'Smelter Reference List'!$E:$E,0)))</f>
        <v>L'azurde Company For Jewelry</v>
      </c>
      <c r="D91" s="292" t="str">
        <f ca="1">IF(ISERROR($S91),"",OFFSET('Smelter Reference List'!$C$4,$S91-4,0)&amp;"")</f>
        <v>L'azurde Company For Jewelry</v>
      </c>
      <c r="E91" s="292" t="str">
        <f ca="1">IF(ISERROR($S91),"",OFFSET('Smelter Reference List'!$D$4,$S91-4,0)&amp;"")</f>
        <v>SAUDI ARABIA</v>
      </c>
      <c r="F91" s="292" t="str">
        <f ca="1">IF(ISERROR($S91),"",OFFSET('Smelter Reference List'!$E$4,$S91-4,0))</f>
        <v>CID001032</v>
      </c>
      <c r="G91" s="292" t="str">
        <f ca="1">IF(C91=$U$4,"Enter smelter details", IF(ISERROR($S91),"",OFFSET('Smelter Reference List'!$F$4,$S91-4,0)))</f>
        <v>CFSI</v>
      </c>
      <c r="H91" s="293">
        <f ca="1">IF(ISERROR($S91),"",OFFSET('Smelter Reference List'!$G$4,$S91-4,0))</f>
        <v>0</v>
      </c>
      <c r="I91" s="294" t="str">
        <f ca="1">IF(ISERROR($S91),"",OFFSET('Smelter Reference List'!$H$4,$S91-4,0))</f>
        <v>Riyadh</v>
      </c>
      <c r="J91" s="294" t="str">
        <f ca="1">IF(ISERROR($S91),"",OFFSET('Smelter Reference List'!$I$4,$S91-4,0))</f>
        <v>Riyadh Province</v>
      </c>
      <c r="K91" s="295"/>
      <c r="L91" s="295"/>
      <c r="M91" s="295"/>
      <c r="N91" s="295"/>
      <c r="O91" s="295"/>
      <c r="P91" s="295"/>
      <c r="Q91" s="296"/>
      <c r="R91" s="227"/>
      <c r="S91" s="228">
        <f ca="1">IF(C91="",NA(),MATCH($B91&amp;$C91,'Smelter Reference List'!$J:$J,0))</f>
        <v>107</v>
      </c>
      <c r="T91" s="229"/>
      <c r="U91" s="229">
        <f t="shared" ca="1" si="4"/>
        <v>0</v>
      </c>
      <c r="V91" s="229"/>
      <c r="W91" s="229"/>
      <c r="Y91" s="223" t="str">
        <f t="shared" ca="1" si="5"/>
        <v>GoldL'azurde Company For Jewelry</v>
      </c>
    </row>
    <row r="92" spans="1:25" s="223" customFormat="1" ht="20.25">
      <c r="A92" s="291" t="s">
        <v>1262</v>
      </c>
      <c r="B92" s="292" t="str">
        <f ca="1">IF(LEN(A92)=0,"",INDEX('Smelter Reference List'!$A:$A,MATCH($A92,'Smelter Reference List'!$E:$E,0)))</f>
        <v>Gold</v>
      </c>
      <c r="C92" s="298" t="str">
        <f ca="1">IF(LEN(A92)=0,"",INDEX('Smelter Reference List'!$C:$C,MATCH($A92,'Smelter Reference List'!$E:$E,0)))</f>
        <v>Lingbao Jinyuan Tonghui Refinery Co., Ltd.</v>
      </c>
      <c r="D92" s="292" t="str">
        <f ca="1">IF(ISERROR($S92),"",OFFSET('Smelter Reference List'!$C$4,$S92-4,0)&amp;"")</f>
        <v>Lingbao Jinyuan Tonghui Refinery Co., Ltd.</v>
      </c>
      <c r="E92" s="292" t="str">
        <f ca="1">IF(ISERROR($S92),"",OFFSET('Smelter Reference List'!$D$4,$S92-4,0)&amp;"")</f>
        <v>CHINA</v>
      </c>
      <c r="F92" s="292" t="str">
        <f ca="1">IF(ISERROR($S92),"",OFFSET('Smelter Reference List'!$E$4,$S92-4,0))</f>
        <v>CID001058</v>
      </c>
      <c r="G92" s="292" t="str">
        <f ca="1">IF(C92=$U$4,"Enter smelter details", IF(ISERROR($S92),"",OFFSET('Smelter Reference List'!$F$4,$S92-4,0)))</f>
        <v>CFSI</v>
      </c>
      <c r="H92" s="293">
        <f ca="1">IF(ISERROR($S92),"",OFFSET('Smelter Reference List'!$G$4,$S92-4,0))</f>
        <v>0</v>
      </c>
      <c r="I92" s="294" t="str">
        <f ca="1">IF(ISERROR($S92),"",OFFSET('Smelter Reference List'!$H$4,$S92-4,0))</f>
        <v>Lingbao</v>
      </c>
      <c r="J92" s="294" t="str">
        <f ca="1">IF(ISERROR($S92),"",OFFSET('Smelter Reference List'!$I$4,$S92-4,0))</f>
        <v>Henan</v>
      </c>
      <c r="K92" s="295"/>
      <c r="L92" s="295"/>
      <c r="M92" s="295"/>
      <c r="N92" s="295"/>
      <c r="O92" s="295"/>
      <c r="P92" s="295"/>
      <c r="Q92" s="296"/>
      <c r="R92" s="227"/>
      <c r="S92" s="228">
        <f ca="1">IF(C92="",NA(),MATCH($B92&amp;$C92,'Smelter Reference List'!$J:$J,0))</f>
        <v>110</v>
      </c>
      <c r="T92" s="229"/>
      <c r="U92" s="229">
        <f t="shared" ca="1" si="4"/>
        <v>0</v>
      </c>
      <c r="V92" s="229"/>
      <c r="W92" s="229"/>
      <c r="Y92" s="223" t="str">
        <f t="shared" ca="1" si="5"/>
        <v>GoldLingbao Jinyuan Tonghui Refinery Co., Ltd.</v>
      </c>
    </row>
    <row r="93" spans="1:25" s="223" customFormat="1" ht="20.25">
      <c r="A93" s="291" t="s">
        <v>1353</v>
      </c>
      <c r="B93" s="292" t="str">
        <f ca="1">IF(LEN(A93)=0,"",INDEX('Smelter Reference List'!$A:$A,MATCH($A93,'Smelter Reference List'!$E:$E,0)))</f>
        <v>Tin</v>
      </c>
      <c r="C93" s="298" t="str">
        <f ca="1">IF(LEN(A93)=0,"",INDEX('Smelter Reference List'!$C:$C,MATCH($A93,'Smelter Reference List'!$E:$E,0)))</f>
        <v>China Tin Group Co., Ltd.</v>
      </c>
      <c r="D93" s="292" t="str">
        <f ca="1">IF(ISERROR($S93),"",OFFSET('Smelter Reference List'!$C$4,$S93-4,0)&amp;"")</f>
        <v>China Tin Group Co., Ltd.</v>
      </c>
      <c r="E93" s="292" t="str">
        <f ca="1">IF(ISERROR($S93),"",OFFSET('Smelter Reference List'!$D$4,$S93-4,0)&amp;"")</f>
        <v>CHINA</v>
      </c>
      <c r="F93" s="292" t="str">
        <f ca="1">IF(ISERROR($S93),"",OFFSET('Smelter Reference List'!$E$4,$S93-4,0))</f>
        <v>CID001070</v>
      </c>
      <c r="G93" s="292" t="str">
        <f ca="1">IF(C93=$U$4,"Enter smelter details", IF(ISERROR($S93),"",OFFSET('Smelter Reference List'!$F$4,$S93-4,0)))</f>
        <v>CFSI</v>
      </c>
      <c r="H93" s="293">
        <f ca="1">IF(ISERROR($S93),"",OFFSET('Smelter Reference List'!$G$4,$S93-4,0))</f>
        <v>0</v>
      </c>
      <c r="I93" s="294" t="str">
        <f ca="1">IF(ISERROR($S93),"",OFFSET('Smelter Reference List'!$H$4,$S93-4,0))</f>
        <v>Laibin</v>
      </c>
      <c r="J93" s="294" t="str">
        <f ca="1">IF(ISERROR($S93),"",OFFSET('Smelter Reference List'!$I$4,$S93-4,0))</f>
        <v>Guangxi</v>
      </c>
      <c r="K93" s="295"/>
      <c r="L93" s="295"/>
      <c r="M93" s="295"/>
      <c r="N93" s="295"/>
      <c r="O93" s="295"/>
      <c r="P93" s="295"/>
      <c r="Q93" s="296"/>
      <c r="R93" s="227"/>
      <c r="S93" s="228">
        <f ca="1">IF(C93="",NA(),MATCH($B93&amp;$C93,'Smelter Reference List'!$J:$J,0))</f>
        <v>324</v>
      </c>
      <c r="T93" s="229"/>
      <c r="U93" s="229">
        <f t="shared" ca="1" si="4"/>
        <v>0</v>
      </c>
      <c r="V93" s="229"/>
      <c r="W93" s="229"/>
      <c r="Y93" s="223" t="str">
        <f t="shared" ca="1" si="5"/>
        <v>TinChina Tin Group Co., Ltd.</v>
      </c>
    </row>
    <row r="94" spans="1:25" s="223" customFormat="1" ht="20.25">
      <c r="A94" s="291" t="s">
        <v>1326</v>
      </c>
      <c r="B94" s="292" t="str">
        <f ca="1">IF(LEN(A94)=0,"",INDEX('Smelter Reference List'!$A:$A,MATCH($A94,'Smelter Reference List'!$E:$E,0)))</f>
        <v>Tantalum</v>
      </c>
      <c r="C94" s="298" t="str">
        <f ca="1">IF(LEN(A94)=0,"",INDEX('Smelter Reference List'!$C:$C,MATCH($A94,'Smelter Reference List'!$E:$E,0)))</f>
        <v>LSM Brasil S.A.</v>
      </c>
      <c r="D94" s="292" t="str">
        <f ca="1">IF(ISERROR($S94),"",OFFSET('Smelter Reference List'!$C$4,$S94-4,0)&amp;"")</f>
        <v>LSM Brasil S.A.</v>
      </c>
      <c r="E94" s="292" t="str">
        <f ca="1">IF(ISERROR($S94),"",OFFSET('Smelter Reference List'!$D$4,$S94-4,0)&amp;"")</f>
        <v>BRAZIL</v>
      </c>
      <c r="F94" s="292" t="str">
        <f ca="1">IF(ISERROR($S94),"",OFFSET('Smelter Reference List'!$E$4,$S94-4,0))</f>
        <v>CID001076</v>
      </c>
      <c r="G94" s="292" t="str">
        <f ca="1">IF(C94=$U$4,"Enter smelter details", IF(ISERROR($S94),"",OFFSET('Smelter Reference List'!$F$4,$S94-4,0)))</f>
        <v>CFSI</v>
      </c>
      <c r="H94" s="293">
        <f ca="1">IF(ISERROR($S94),"",OFFSET('Smelter Reference List'!$G$4,$S94-4,0))</f>
        <v>0</v>
      </c>
      <c r="I94" s="294" t="str">
        <f ca="1">IF(ISERROR($S94),"",OFFSET('Smelter Reference List'!$H$4,$S94-4,0))</f>
        <v>São João del Rei</v>
      </c>
      <c r="J94" s="294" t="str">
        <f ca="1">IF(ISERROR($S94),"",OFFSET('Smelter Reference List'!$I$4,$S94-4,0))</f>
        <v>Minas Gerais</v>
      </c>
      <c r="K94" s="295"/>
      <c r="L94" s="295"/>
      <c r="M94" s="295"/>
      <c r="N94" s="295"/>
      <c r="O94" s="295"/>
      <c r="P94" s="295"/>
      <c r="Q94" s="296"/>
      <c r="R94" s="227"/>
      <c r="S94" s="228">
        <f ca="1">IF(C94="",NA(),MATCH($B94&amp;$C94,'Smelter Reference List'!$J:$J,0))</f>
        <v>277</v>
      </c>
      <c r="T94" s="229"/>
      <c r="U94" s="229">
        <f t="shared" ca="1" si="4"/>
        <v>0</v>
      </c>
      <c r="V94" s="229"/>
      <c r="W94" s="229"/>
      <c r="Y94" s="223" t="str">
        <f t="shared" ca="1" si="5"/>
        <v>TantalumLSM Brasil S.A.</v>
      </c>
    </row>
    <row r="95" spans="1:25" s="223" customFormat="1" ht="20.25">
      <c r="A95" s="291" t="s">
        <v>1263</v>
      </c>
      <c r="B95" s="292" t="str">
        <f ca="1">IF(LEN(A95)=0,"",INDEX('Smelter Reference List'!$A:$A,MATCH($A95,'Smelter Reference List'!$E:$E,0)))</f>
        <v>Gold</v>
      </c>
      <c r="C95" s="298" t="str">
        <f ca="1">IF(LEN(A95)=0,"",INDEX('Smelter Reference List'!$C:$C,MATCH($A95,'Smelter Reference List'!$E:$E,0)))</f>
        <v>LS-NIKKO Copper Inc.</v>
      </c>
      <c r="D95" s="292" t="str">
        <f ca="1">IF(ISERROR($S95),"",OFFSET('Smelter Reference List'!$C$4,$S95-4,0)&amp;"")</f>
        <v>LS-NIKKO Copper Inc.</v>
      </c>
      <c r="E95" s="292" t="str">
        <f ca="1">IF(ISERROR($S95),"",OFFSET('Smelter Reference List'!$D$4,$S95-4,0)&amp;"")</f>
        <v>KOREA (REPUBLIC OF)</v>
      </c>
      <c r="F95" s="292" t="str">
        <f ca="1">IF(ISERROR($S95),"",OFFSET('Smelter Reference List'!$E$4,$S95-4,0))</f>
        <v>CID001078</v>
      </c>
      <c r="G95" s="292" t="str">
        <f ca="1">IF(C95=$U$4,"Enter smelter details", IF(ISERROR($S95),"",OFFSET('Smelter Reference List'!$F$4,$S95-4,0)))</f>
        <v>CFSI</v>
      </c>
      <c r="H95" s="293">
        <f ca="1">IF(ISERROR($S95),"",OFFSET('Smelter Reference List'!$G$4,$S95-4,0))</f>
        <v>0</v>
      </c>
      <c r="I95" s="294" t="str">
        <f ca="1">IF(ISERROR($S95),"",OFFSET('Smelter Reference List'!$H$4,$S95-4,0))</f>
        <v>Onsan-eup</v>
      </c>
      <c r="J95" s="294" t="str">
        <f ca="1">IF(ISERROR($S95),"",OFFSET('Smelter Reference List'!$I$4,$S95-4,0))</f>
        <v>Ulsan</v>
      </c>
      <c r="K95" s="295"/>
      <c r="L95" s="295"/>
      <c r="M95" s="295"/>
      <c r="N95" s="295"/>
      <c r="O95" s="295"/>
      <c r="P95" s="295"/>
      <c r="Q95" s="296"/>
      <c r="R95" s="227"/>
      <c r="S95" s="228">
        <f ca="1">IF(C95="",NA(),MATCH($B95&amp;$C95,'Smelter Reference List'!$J:$J,0))</f>
        <v>112</v>
      </c>
      <c r="T95" s="229"/>
      <c r="U95" s="229">
        <f t="shared" ca="1" si="4"/>
        <v>0</v>
      </c>
      <c r="V95" s="229"/>
      <c r="W95" s="229"/>
      <c r="Y95" s="223" t="str">
        <f t="shared" ca="1" si="5"/>
        <v>GoldLS-NIKKO Copper Inc.</v>
      </c>
    </row>
    <row r="96" spans="1:25" s="223" customFormat="1" ht="20.25">
      <c r="A96" s="291" t="s">
        <v>1265</v>
      </c>
      <c r="B96" s="292" t="str">
        <f ca="1">IF(LEN(A96)=0,"",INDEX('Smelter Reference List'!$A:$A,MATCH($A96,'Smelter Reference List'!$E:$E,0)))</f>
        <v>Gold</v>
      </c>
      <c r="C96" s="298" t="str">
        <f ca="1">IF(LEN(A96)=0,"",INDEX('Smelter Reference List'!$C:$C,MATCH($A96,'Smelter Reference List'!$E:$E,0)))</f>
        <v>Luoyang Zijin Yinhui Gold Refinery Co., Ltd.</v>
      </c>
      <c r="D96" s="292" t="str">
        <f ca="1">IF(ISERROR($S96),"",OFFSET('Smelter Reference List'!$C$4,$S96-4,0)&amp;"")</f>
        <v>Luoyang Zijin Yinhui Gold Refinery Co., Ltd.</v>
      </c>
      <c r="E96" s="292" t="str">
        <f ca="1">IF(ISERROR($S96),"",OFFSET('Smelter Reference List'!$D$4,$S96-4,0)&amp;"")</f>
        <v>CHINA</v>
      </c>
      <c r="F96" s="292" t="str">
        <f ca="1">IF(ISERROR($S96),"",OFFSET('Smelter Reference List'!$E$4,$S96-4,0))</f>
        <v>CID001093</v>
      </c>
      <c r="G96" s="292" t="str">
        <f ca="1">IF(C96=$U$4,"Enter smelter details", IF(ISERROR($S96),"",OFFSET('Smelter Reference List'!$F$4,$S96-4,0)))</f>
        <v>CFSI</v>
      </c>
      <c r="H96" s="293">
        <f ca="1">IF(ISERROR($S96),"",OFFSET('Smelter Reference List'!$G$4,$S96-4,0))</f>
        <v>0</v>
      </c>
      <c r="I96" s="294" t="str">
        <f ca="1">IF(ISERROR($S96),"",OFFSET('Smelter Reference List'!$H$4,$S96-4,0))</f>
        <v>Luoyang</v>
      </c>
      <c r="J96" s="294" t="str">
        <f ca="1">IF(ISERROR($S96),"",OFFSET('Smelter Reference List'!$I$4,$S96-4,0))</f>
        <v>Henan</v>
      </c>
      <c r="K96" s="295"/>
      <c r="L96" s="295"/>
      <c r="M96" s="295"/>
      <c r="N96" s="295"/>
      <c r="O96" s="295"/>
      <c r="P96" s="295"/>
      <c r="Q96" s="296"/>
      <c r="R96" s="227"/>
      <c r="S96" s="228">
        <f ca="1">IF(C96="",NA(),MATCH($B96&amp;$C96,'Smelter Reference List'!$J:$J,0))</f>
        <v>113</v>
      </c>
      <c r="T96" s="229"/>
      <c r="U96" s="229">
        <f t="shared" ca="1" si="4"/>
        <v>0</v>
      </c>
      <c r="V96" s="229"/>
      <c r="W96" s="229"/>
      <c r="Y96" s="223" t="str">
        <f t="shared" ca="1" si="5"/>
        <v>GoldLuoyang Zijin Yinhui Gold Refinery Co., Ltd.</v>
      </c>
    </row>
    <row r="97" spans="1:25" s="223" customFormat="1" ht="20.25">
      <c r="A97" s="291" t="s">
        <v>1354</v>
      </c>
      <c r="B97" s="292" t="str">
        <f ca="1">IF(LEN(A97)=0,"",INDEX('Smelter Reference List'!$A:$A,MATCH($A97,'Smelter Reference List'!$E:$E,0)))</f>
        <v>Tin</v>
      </c>
      <c r="C97" s="298" t="str">
        <f ca="1">IF(LEN(A97)=0,"",INDEX('Smelter Reference List'!$C:$C,MATCH($A97,'Smelter Reference List'!$E:$E,0)))</f>
        <v>Malaysia Smelting Corporation (MSC)</v>
      </c>
      <c r="D97" s="292" t="str">
        <f ca="1">IF(ISERROR($S97),"",OFFSET('Smelter Reference List'!$C$4,$S97-4,0)&amp;"")</f>
        <v>Malaysia Smelting Corporation (MSC)</v>
      </c>
      <c r="E97" s="292" t="str">
        <f ca="1">IF(ISERROR($S97),"",OFFSET('Smelter Reference List'!$D$4,$S97-4,0)&amp;"")</f>
        <v>MALAYSIA</v>
      </c>
      <c r="F97" s="292" t="str">
        <f ca="1">IF(ISERROR($S97),"",OFFSET('Smelter Reference List'!$E$4,$S97-4,0))</f>
        <v>CID001105</v>
      </c>
      <c r="G97" s="292" t="str">
        <f ca="1">IF(C97=$U$4,"Enter smelter details", IF(ISERROR($S97),"",OFFSET('Smelter Reference List'!$F$4,$S97-4,0)))</f>
        <v>CFSI</v>
      </c>
      <c r="H97" s="293">
        <f ca="1">IF(ISERROR($S97),"",OFFSET('Smelter Reference List'!$G$4,$S97-4,0))</f>
        <v>0</v>
      </c>
      <c r="I97" s="294" t="str">
        <f ca="1">IF(ISERROR($S97),"",OFFSET('Smelter Reference List'!$H$4,$S97-4,0))</f>
        <v>Butterworth</v>
      </c>
      <c r="J97" s="294" t="str">
        <f ca="1">IF(ISERROR($S97),"",OFFSET('Smelter Reference List'!$I$4,$S97-4,0))</f>
        <v>Penang</v>
      </c>
      <c r="K97" s="295"/>
      <c r="L97" s="295"/>
      <c r="M97" s="295"/>
      <c r="N97" s="295"/>
      <c r="O97" s="295"/>
      <c r="P97" s="295"/>
      <c r="Q97" s="296"/>
      <c r="R97" s="227"/>
      <c r="S97" s="228">
        <f ca="1">IF(C97="",NA(),MATCH($B97&amp;$C97,'Smelter Reference List'!$J:$J,0))</f>
        <v>380</v>
      </c>
      <c r="T97" s="229"/>
      <c r="U97" s="229">
        <f t="shared" ca="1" si="4"/>
        <v>0</v>
      </c>
      <c r="V97" s="229"/>
      <c r="W97" s="229"/>
      <c r="Y97" s="223" t="str">
        <f t="shared" ca="1" si="5"/>
        <v>TinMalaysia Smelting Corporation (MSC)</v>
      </c>
    </row>
    <row r="98" spans="1:25" s="223" customFormat="1" ht="20.25">
      <c r="A98" s="291" t="s">
        <v>1266</v>
      </c>
      <c r="B98" s="292" t="str">
        <f ca="1">IF(LEN(A98)=0,"",INDEX('Smelter Reference List'!$A:$A,MATCH($A98,'Smelter Reference List'!$E:$E,0)))</f>
        <v>Gold</v>
      </c>
      <c r="C98" s="298" t="str">
        <f ca="1">IF(LEN(A98)=0,"",INDEX('Smelter Reference List'!$C:$C,MATCH($A98,'Smelter Reference List'!$E:$E,0)))</f>
        <v>Materion</v>
      </c>
      <c r="D98" s="292" t="str">
        <f ca="1">IF(ISERROR($S98),"",OFFSET('Smelter Reference List'!$C$4,$S98-4,0)&amp;"")</f>
        <v>Materion</v>
      </c>
      <c r="E98" s="292" t="str">
        <f ca="1">IF(ISERROR($S98),"",OFFSET('Smelter Reference List'!$D$4,$S98-4,0)&amp;"")</f>
        <v>UNITED STATES OF AMERICA</v>
      </c>
      <c r="F98" s="292" t="str">
        <f ca="1">IF(ISERROR($S98),"",OFFSET('Smelter Reference List'!$E$4,$S98-4,0))</f>
        <v>CID001113</v>
      </c>
      <c r="G98" s="292" t="str">
        <f ca="1">IF(C98=$U$4,"Enter smelter details", IF(ISERROR($S98),"",OFFSET('Smelter Reference List'!$F$4,$S98-4,0)))</f>
        <v>CFSI</v>
      </c>
      <c r="H98" s="293">
        <f ca="1">IF(ISERROR($S98),"",OFFSET('Smelter Reference List'!$G$4,$S98-4,0))</f>
        <v>0</v>
      </c>
      <c r="I98" s="294" t="str">
        <f ca="1">IF(ISERROR($S98),"",OFFSET('Smelter Reference List'!$H$4,$S98-4,0))</f>
        <v>Buffalo</v>
      </c>
      <c r="J98" s="294" t="str">
        <f ca="1">IF(ISERROR($S98),"",OFFSET('Smelter Reference List'!$I$4,$S98-4,0))</f>
        <v>New York</v>
      </c>
      <c r="K98" s="295"/>
      <c r="L98" s="295"/>
      <c r="M98" s="295"/>
      <c r="N98" s="295"/>
      <c r="O98" s="295"/>
      <c r="P98" s="295"/>
      <c r="Q98" s="296"/>
      <c r="R98" s="227"/>
      <c r="S98" s="228">
        <f ca="1">IF(C98="",NA(),MATCH($B98&amp;$C98,'Smelter Reference List'!$J:$J,0))</f>
        <v>116</v>
      </c>
      <c r="T98" s="229"/>
      <c r="U98" s="229">
        <f t="shared" ca="1" si="4"/>
        <v>0</v>
      </c>
      <c r="V98" s="229"/>
      <c r="W98" s="229"/>
      <c r="Y98" s="223" t="str">
        <f t="shared" ca="1" si="5"/>
        <v>GoldMaterion</v>
      </c>
    </row>
    <row r="99" spans="1:25" s="223" customFormat="1" ht="20.25">
      <c r="A99" s="291" t="s">
        <v>1267</v>
      </c>
      <c r="B99" s="292" t="str">
        <f ca="1">IF(LEN(A99)=0,"",INDEX('Smelter Reference List'!$A:$A,MATCH($A99,'Smelter Reference List'!$E:$E,0)))</f>
        <v>Gold</v>
      </c>
      <c r="C99" s="298" t="str">
        <f ca="1">IF(LEN(A99)=0,"",INDEX('Smelter Reference List'!$C:$C,MATCH($A99,'Smelter Reference List'!$E:$E,0)))</f>
        <v>Matsuda Sangyo Co., Ltd.</v>
      </c>
      <c r="D99" s="292" t="str">
        <f ca="1">IF(ISERROR($S99),"",OFFSET('Smelter Reference List'!$C$4,$S99-4,0)&amp;"")</f>
        <v>Matsuda Sangyo Co., Ltd.</v>
      </c>
      <c r="E99" s="292" t="str">
        <f ca="1">IF(ISERROR($S99),"",OFFSET('Smelter Reference List'!$D$4,$S99-4,0)&amp;"")</f>
        <v>JAPAN</v>
      </c>
      <c r="F99" s="292" t="str">
        <f ca="1">IF(ISERROR($S99),"",OFFSET('Smelter Reference List'!$E$4,$S99-4,0))</f>
        <v>CID001119</v>
      </c>
      <c r="G99" s="292" t="str">
        <f ca="1">IF(C99=$U$4,"Enter smelter details", IF(ISERROR($S99),"",OFFSET('Smelter Reference List'!$F$4,$S99-4,0)))</f>
        <v>CFSI</v>
      </c>
      <c r="H99" s="293">
        <f ca="1">IF(ISERROR($S99),"",OFFSET('Smelter Reference List'!$G$4,$S99-4,0))</f>
        <v>0</v>
      </c>
      <c r="I99" s="294" t="str">
        <f ca="1">IF(ISERROR($S99),"",OFFSET('Smelter Reference List'!$H$4,$S99-4,0))</f>
        <v>Iruma</v>
      </c>
      <c r="J99" s="294" t="str">
        <f ca="1">IF(ISERROR($S99),"",OFFSET('Smelter Reference List'!$I$4,$S99-4,0))</f>
        <v>Saitama</v>
      </c>
      <c r="K99" s="295"/>
      <c r="L99" s="295"/>
      <c r="M99" s="295"/>
      <c r="N99" s="295"/>
      <c r="O99" s="295"/>
      <c r="P99" s="295"/>
      <c r="Q99" s="296"/>
      <c r="R99" s="227"/>
      <c r="S99" s="228">
        <f ca="1">IF(C99="",NA(),MATCH($B99&amp;$C99,'Smelter Reference List'!$J:$J,0))</f>
        <v>117</v>
      </c>
      <c r="T99" s="229"/>
      <c r="U99" s="229">
        <f t="shared" ca="1" si="4"/>
        <v>0</v>
      </c>
      <c r="V99" s="229"/>
      <c r="W99" s="229"/>
      <c r="Y99" s="223" t="str">
        <f t="shared" ca="1" si="5"/>
        <v>GoldMatsuda Sangyo Co., Ltd.</v>
      </c>
    </row>
    <row r="100" spans="1:25" s="223" customFormat="1" ht="20.25">
      <c r="A100" s="291" t="s">
        <v>3407</v>
      </c>
      <c r="B100" s="292" t="str">
        <f ca="1">IF(LEN(A100)=0,"",INDEX('Smelter Reference List'!$A:$A,MATCH($A100,'Smelter Reference List'!$E:$E,0)))</f>
        <v>Tin</v>
      </c>
      <c r="C100" s="298" t="str">
        <f ca="1">IF(LEN(A100)=0,"",INDEX('Smelter Reference List'!$C:$C,MATCH($A100,'Smelter Reference List'!$E:$E,0)))</f>
        <v>Metallic Resources, Inc.</v>
      </c>
      <c r="D100" s="292" t="str">
        <f ca="1">IF(ISERROR($S100),"",OFFSET('Smelter Reference List'!$C$4,$S100-4,0)&amp;"")</f>
        <v>Metallic Resources, Inc.</v>
      </c>
      <c r="E100" s="292" t="str">
        <f ca="1">IF(ISERROR($S100),"",OFFSET('Smelter Reference List'!$D$4,$S100-4,0)&amp;"")</f>
        <v>UNITED STATES OF AMERICA</v>
      </c>
      <c r="F100" s="292" t="str">
        <f ca="1">IF(ISERROR($S100),"",OFFSET('Smelter Reference List'!$E$4,$S100-4,0))</f>
        <v>CID001142</v>
      </c>
      <c r="G100" s="292" t="str">
        <f ca="1">IF(C100=$U$4,"Enter smelter details", IF(ISERROR($S100),"",OFFSET('Smelter Reference List'!$F$4,$S100-4,0)))</f>
        <v>CFSI</v>
      </c>
      <c r="H100" s="293">
        <f ca="1">IF(ISERROR($S100),"",OFFSET('Smelter Reference List'!$G$4,$S100-4,0))</f>
        <v>0</v>
      </c>
      <c r="I100" s="294" t="str">
        <f ca="1">IF(ISERROR($S100),"",OFFSET('Smelter Reference List'!$H$4,$S100-4,0))</f>
        <v>Twinsburg</v>
      </c>
      <c r="J100" s="294" t="str">
        <f ca="1">IF(ISERROR($S100),"",OFFSET('Smelter Reference List'!$I$4,$S100-4,0))</f>
        <v>Ohio</v>
      </c>
      <c r="K100" s="295"/>
      <c r="L100" s="295"/>
      <c r="M100" s="295"/>
      <c r="N100" s="295"/>
      <c r="O100" s="295"/>
      <c r="P100" s="295"/>
      <c r="Q100" s="296"/>
      <c r="R100" s="227"/>
      <c r="S100" s="228">
        <f ca="1">IF(C100="",NA(),MATCH($B100&amp;$C100,'Smelter Reference List'!$J:$J,0))</f>
        <v>384</v>
      </c>
      <c r="T100" s="229"/>
      <c r="U100" s="229">
        <f t="shared" ca="1" si="4"/>
        <v>0</v>
      </c>
      <c r="V100" s="229"/>
      <c r="W100" s="229"/>
      <c r="Y100" s="223" t="str">
        <f t="shared" ca="1" si="5"/>
        <v>TinMetallic Resources, Inc.</v>
      </c>
    </row>
    <row r="101" spans="1:25" s="223" customFormat="1" ht="20.25">
      <c r="A101" s="291" t="s">
        <v>1268</v>
      </c>
      <c r="B101" s="292" t="str">
        <f ca="1">IF(LEN(A101)=0,"",INDEX('Smelter Reference List'!$A:$A,MATCH($A101,'Smelter Reference List'!$E:$E,0)))</f>
        <v>Gold</v>
      </c>
      <c r="C101" s="298" t="str">
        <f ca="1">IF(LEN(A101)=0,"",INDEX('Smelter Reference List'!$C:$C,MATCH($A101,'Smelter Reference List'!$E:$E,0)))</f>
        <v>Metalor Technologies (Hong Kong) Ltd.</v>
      </c>
      <c r="D101" s="292" t="str">
        <f ca="1">IF(ISERROR($S101),"",OFFSET('Smelter Reference List'!$C$4,$S101-4,0)&amp;"")</f>
        <v>Metalor Technologies (Hong Kong) Ltd.</v>
      </c>
      <c r="E101" s="292" t="str">
        <f ca="1">IF(ISERROR($S101),"",OFFSET('Smelter Reference List'!$D$4,$S101-4,0)&amp;"")</f>
        <v>CHINA</v>
      </c>
      <c r="F101" s="292" t="str">
        <f ca="1">IF(ISERROR($S101),"",OFFSET('Smelter Reference List'!$E$4,$S101-4,0))</f>
        <v>CID001149</v>
      </c>
      <c r="G101" s="292" t="str">
        <f ca="1">IF(C101=$U$4,"Enter smelter details", IF(ISERROR($S101),"",OFFSET('Smelter Reference List'!$F$4,$S101-4,0)))</f>
        <v>CFSI</v>
      </c>
      <c r="H101" s="293">
        <f ca="1">IF(ISERROR($S101),"",OFFSET('Smelter Reference List'!$G$4,$S101-4,0))</f>
        <v>0</v>
      </c>
      <c r="I101" s="294" t="str">
        <f ca="1">IF(ISERROR($S101),"",OFFSET('Smelter Reference List'!$H$4,$S101-4,0))</f>
        <v>Kwai Chung</v>
      </c>
      <c r="J101" s="294" t="str">
        <f ca="1">IF(ISERROR($S101),"",OFFSET('Smelter Reference List'!$I$4,$S101-4,0))</f>
        <v>Hong Kong</v>
      </c>
      <c r="K101" s="295"/>
      <c r="L101" s="295"/>
      <c r="M101" s="295"/>
      <c r="N101" s="295"/>
      <c r="O101" s="295"/>
      <c r="P101" s="295"/>
      <c r="Q101" s="296"/>
      <c r="R101" s="227"/>
      <c r="S101" s="228">
        <f ca="1">IF(C101="",NA(),MATCH($B101&amp;$C101,'Smelter Reference List'!$J:$J,0))</f>
        <v>121</v>
      </c>
      <c r="T101" s="229"/>
      <c r="U101" s="229">
        <f t="shared" ca="1" si="4"/>
        <v>0</v>
      </c>
      <c r="V101" s="229"/>
      <c r="W101" s="229"/>
      <c r="Y101" s="223" t="str">
        <f t="shared" ca="1" si="5"/>
        <v>GoldMetalor Technologies (Hong Kong) Ltd.</v>
      </c>
    </row>
    <row r="102" spans="1:25" s="223" customFormat="1" ht="20.25">
      <c r="A102" s="291" t="s">
        <v>1269</v>
      </c>
      <c r="B102" s="292" t="str">
        <f ca="1">IF(LEN(A102)=0,"",INDEX('Smelter Reference List'!$A:$A,MATCH($A102,'Smelter Reference List'!$E:$E,0)))</f>
        <v>Gold</v>
      </c>
      <c r="C102" s="298" t="str">
        <f ca="1">IF(LEN(A102)=0,"",INDEX('Smelter Reference List'!$C:$C,MATCH($A102,'Smelter Reference List'!$E:$E,0)))</f>
        <v>Metalor Technologies (Singapore) Pte., Ltd.</v>
      </c>
      <c r="D102" s="292" t="str">
        <f ca="1">IF(ISERROR($S102),"",OFFSET('Smelter Reference List'!$C$4,$S102-4,0)&amp;"")</f>
        <v>Metalor Technologies (Singapore) Pte., Ltd.</v>
      </c>
      <c r="E102" s="292" t="str">
        <f ca="1">IF(ISERROR($S102),"",OFFSET('Smelter Reference List'!$D$4,$S102-4,0)&amp;"")</f>
        <v>SINGAPORE</v>
      </c>
      <c r="F102" s="292" t="str">
        <f ca="1">IF(ISERROR($S102),"",OFFSET('Smelter Reference List'!$E$4,$S102-4,0))</f>
        <v>CID001152</v>
      </c>
      <c r="G102" s="292" t="str">
        <f ca="1">IF(C102=$U$4,"Enter smelter details", IF(ISERROR($S102),"",OFFSET('Smelter Reference List'!$F$4,$S102-4,0)))</f>
        <v>CFSI</v>
      </c>
      <c r="H102" s="293">
        <f ca="1">IF(ISERROR($S102),"",OFFSET('Smelter Reference List'!$G$4,$S102-4,0))</f>
        <v>0</v>
      </c>
      <c r="I102" s="294" t="str">
        <f ca="1">IF(ISERROR($S102),"",OFFSET('Smelter Reference List'!$H$4,$S102-4,0))</f>
        <v>Tuas</v>
      </c>
      <c r="J102" s="294" t="str">
        <f ca="1">IF(ISERROR($S102),"",OFFSET('Smelter Reference List'!$I$4,$S102-4,0))</f>
        <v>Singapore</v>
      </c>
      <c r="K102" s="295"/>
      <c r="L102" s="295"/>
      <c r="M102" s="295"/>
      <c r="N102" s="295"/>
      <c r="O102" s="295"/>
      <c r="P102" s="295"/>
      <c r="Q102" s="296"/>
      <c r="R102" s="227"/>
      <c r="S102" s="228">
        <f ca="1">IF(C102="",NA(),MATCH($B102&amp;$C102,'Smelter Reference List'!$J:$J,0))</f>
        <v>122</v>
      </c>
      <c r="T102" s="229"/>
      <c r="U102" s="229">
        <f t="shared" ca="1" si="4"/>
        <v>0</v>
      </c>
      <c r="V102" s="229"/>
      <c r="W102" s="229"/>
      <c r="Y102" s="223" t="str">
        <f t="shared" ca="1" si="5"/>
        <v>GoldMetalor Technologies (Singapore) Pte., Ltd.</v>
      </c>
    </row>
    <row r="103" spans="1:25" s="223" customFormat="1" ht="20.25">
      <c r="A103" s="291" t="s">
        <v>1270</v>
      </c>
      <c r="B103" s="292" t="str">
        <f ca="1">IF(LEN(A103)=0,"",INDEX('Smelter Reference List'!$A:$A,MATCH($A103,'Smelter Reference List'!$E:$E,0)))</f>
        <v>Gold</v>
      </c>
      <c r="C103" s="298" t="str">
        <f ca="1">IF(LEN(A103)=0,"",INDEX('Smelter Reference List'!$C:$C,MATCH($A103,'Smelter Reference List'!$E:$E,0)))</f>
        <v>Metalor Technologies S.A.</v>
      </c>
      <c r="D103" s="292" t="str">
        <f ca="1">IF(ISERROR($S103),"",OFFSET('Smelter Reference List'!$C$4,$S103-4,0)&amp;"")</f>
        <v>Metalor Technologies S.A.</v>
      </c>
      <c r="E103" s="292" t="str">
        <f ca="1">IF(ISERROR($S103),"",OFFSET('Smelter Reference List'!$D$4,$S103-4,0)&amp;"")</f>
        <v>SWITZERLAND</v>
      </c>
      <c r="F103" s="292" t="str">
        <f ca="1">IF(ISERROR($S103),"",OFFSET('Smelter Reference List'!$E$4,$S103-4,0))</f>
        <v>CID001153</v>
      </c>
      <c r="G103" s="292" t="str">
        <f ca="1">IF(C103=$U$4,"Enter smelter details", IF(ISERROR($S103),"",OFFSET('Smelter Reference List'!$F$4,$S103-4,0)))</f>
        <v>CFSI</v>
      </c>
      <c r="H103" s="293">
        <f ca="1">IF(ISERROR($S103),"",OFFSET('Smelter Reference List'!$G$4,$S103-4,0))</f>
        <v>0</v>
      </c>
      <c r="I103" s="294" t="str">
        <f ca="1">IF(ISERROR($S103),"",OFFSET('Smelter Reference List'!$H$4,$S103-4,0))</f>
        <v>Marin</v>
      </c>
      <c r="J103" s="294" t="str">
        <f ca="1">IF(ISERROR($S103),"",OFFSET('Smelter Reference List'!$I$4,$S103-4,0))</f>
        <v>Neuchâtel</v>
      </c>
      <c r="K103" s="295"/>
      <c r="L103" s="295"/>
      <c r="M103" s="295"/>
      <c r="N103" s="295"/>
      <c r="O103" s="295"/>
      <c r="P103" s="295"/>
      <c r="Q103" s="296"/>
      <c r="R103" s="227"/>
      <c r="S103" s="228">
        <f ca="1">IF(C103="",NA(),MATCH($B103&amp;$C103,'Smelter Reference List'!$J:$J,0))</f>
        <v>124</v>
      </c>
      <c r="T103" s="229"/>
      <c r="U103" s="229">
        <f t="shared" ca="1" si="4"/>
        <v>0</v>
      </c>
      <c r="V103" s="229"/>
      <c r="W103" s="229"/>
      <c r="Y103" s="223" t="str">
        <f t="shared" ca="1" si="5"/>
        <v>GoldMetalor Technologies S.A.</v>
      </c>
    </row>
    <row r="104" spans="1:25" s="223" customFormat="1" ht="20.25">
      <c r="A104" s="291" t="s">
        <v>1271</v>
      </c>
      <c r="B104" s="292" t="str">
        <f ca="1">IF(LEN(A104)=0,"",INDEX('Smelter Reference List'!$A:$A,MATCH($A104,'Smelter Reference List'!$E:$E,0)))</f>
        <v>Gold</v>
      </c>
      <c r="C104" s="298" t="str">
        <f ca="1">IF(LEN(A104)=0,"",INDEX('Smelter Reference List'!$C:$C,MATCH($A104,'Smelter Reference List'!$E:$E,0)))</f>
        <v>Metalor USA Refining Corporation</v>
      </c>
      <c r="D104" s="292" t="str">
        <f ca="1">IF(ISERROR($S104),"",OFFSET('Smelter Reference List'!$C$4,$S104-4,0)&amp;"")</f>
        <v>Metalor USA Refining Corporation</v>
      </c>
      <c r="E104" s="292" t="str">
        <f ca="1">IF(ISERROR($S104),"",OFFSET('Smelter Reference List'!$D$4,$S104-4,0)&amp;"")</f>
        <v>UNITED STATES OF AMERICA</v>
      </c>
      <c r="F104" s="292" t="str">
        <f ca="1">IF(ISERROR($S104),"",OFFSET('Smelter Reference List'!$E$4,$S104-4,0))</f>
        <v>CID001157</v>
      </c>
      <c r="G104" s="292" t="str">
        <f ca="1">IF(C104=$U$4,"Enter smelter details", IF(ISERROR($S104),"",OFFSET('Smelter Reference List'!$F$4,$S104-4,0)))</f>
        <v>CFSI</v>
      </c>
      <c r="H104" s="293">
        <f ca="1">IF(ISERROR($S104),"",OFFSET('Smelter Reference List'!$G$4,$S104-4,0))</f>
        <v>0</v>
      </c>
      <c r="I104" s="294" t="str">
        <f ca="1">IF(ISERROR($S104),"",OFFSET('Smelter Reference List'!$H$4,$S104-4,0))</f>
        <v>North Attleboro</v>
      </c>
      <c r="J104" s="294" t="str">
        <f ca="1">IF(ISERROR($S104),"",OFFSET('Smelter Reference List'!$I$4,$S104-4,0))</f>
        <v>Massachusetts</v>
      </c>
      <c r="K104" s="295"/>
      <c r="L104" s="295"/>
      <c r="M104" s="295"/>
      <c r="N104" s="295"/>
      <c r="O104" s="295"/>
      <c r="P104" s="295"/>
      <c r="Q104" s="296"/>
      <c r="R104" s="227"/>
      <c r="S104" s="228">
        <f ca="1">IF(C104="",NA(),MATCH($B104&amp;$C104,'Smelter Reference List'!$J:$J,0))</f>
        <v>125</v>
      </c>
      <c r="T104" s="229"/>
      <c r="U104" s="229">
        <f t="shared" ca="1" si="4"/>
        <v>0</v>
      </c>
      <c r="V104" s="229"/>
      <c r="W104" s="229"/>
      <c r="Y104" s="223" t="str">
        <f t="shared" ca="1" si="5"/>
        <v>GoldMetalor USA Refining Corporation</v>
      </c>
    </row>
    <row r="105" spans="1:25" s="223" customFormat="1" ht="20.25">
      <c r="A105" s="291" t="s">
        <v>1272</v>
      </c>
      <c r="B105" s="292" t="str">
        <f ca="1">IF(LEN(A105)=0,"",INDEX('Smelter Reference List'!$A:$A,MATCH($A105,'Smelter Reference List'!$E:$E,0)))</f>
        <v>Gold</v>
      </c>
      <c r="C105" s="298" t="str">
        <f ca="1">IF(LEN(A105)=0,"",INDEX('Smelter Reference List'!$C:$C,MATCH($A105,'Smelter Reference List'!$E:$E,0)))</f>
        <v>Metalúrgica Met-Mex Peñoles S.A. De C.V.</v>
      </c>
      <c r="D105" s="292" t="str">
        <f ca="1">IF(ISERROR($S105),"",OFFSET('Smelter Reference List'!$C$4,$S105-4,0)&amp;"")</f>
        <v>Metalúrgica Met-Mex Peñoles S.A. De C.V.</v>
      </c>
      <c r="E105" s="292" t="str">
        <f ca="1">IF(ISERROR($S105),"",OFFSET('Smelter Reference List'!$D$4,$S105-4,0)&amp;"")</f>
        <v>MEXICO</v>
      </c>
      <c r="F105" s="292" t="str">
        <f ca="1">IF(ISERROR($S105),"",OFFSET('Smelter Reference List'!$E$4,$S105-4,0))</f>
        <v>CID001161</v>
      </c>
      <c r="G105" s="292" t="str">
        <f ca="1">IF(C105=$U$4,"Enter smelter details", IF(ISERROR($S105),"",OFFSET('Smelter Reference List'!$F$4,$S105-4,0)))</f>
        <v>CFSI</v>
      </c>
      <c r="H105" s="293">
        <f ca="1">IF(ISERROR($S105),"",OFFSET('Smelter Reference List'!$G$4,$S105-4,0))</f>
        <v>0</v>
      </c>
      <c r="I105" s="294" t="str">
        <f ca="1">IF(ISERROR($S105),"",OFFSET('Smelter Reference List'!$H$4,$S105-4,0))</f>
        <v>Torreon</v>
      </c>
      <c r="J105" s="294" t="str">
        <f ca="1">IF(ISERROR($S105),"",OFFSET('Smelter Reference List'!$I$4,$S105-4,0))</f>
        <v>Coahuila</v>
      </c>
      <c r="K105" s="295"/>
      <c r="L105" s="295"/>
      <c r="M105" s="295"/>
      <c r="N105" s="295"/>
      <c r="O105" s="295"/>
      <c r="P105" s="295"/>
      <c r="Q105" s="296"/>
      <c r="R105" s="227"/>
      <c r="S105" s="228">
        <f ca="1">IF(C105="",NA(),MATCH($B105&amp;$C105,'Smelter Reference List'!$J:$J,0))</f>
        <v>126</v>
      </c>
      <c r="T105" s="229"/>
      <c r="U105" s="229">
        <f t="shared" ca="1" si="4"/>
        <v>0</v>
      </c>
      <c r="V105" s="229"/>
      <c r="W105" s="229"/>
      <c r="Y105" s="223" t="str">
        <f t="shared" ca="1" si="5"/>
        <v>GoldMetalúrgica Met-Mex Peñoles S.A. De C.V.</v>
      </c>
    </row>
    <row r="106" spans="1:25" s="223" customFormat="1" ht="20.25">
      <c r="A106" s="291" t="s">
        <v>1327</v>
      </c>
      <c r="B106" s="292" t="str">
        <f ca="1">IF(LEN(A106)=0,"",INDEX('Smelter Reference List'!$A:$A,MATCH($A106,'Smelter Reference List'!$E:$E,0)))</f>
        <v>Tantalum</v>
      </c>
      <c r="C106" s="298" t="str">
        <f ca="1">IF(LEN(A106)=0,"",INDEX('Smelter Reference List'!$C:$C,MATCH($A106,'Smelter Reference List'!$E:$E,0)))</f>
        <v>Metallurgical Products India Pvt., Ltd.</v>
      </c>
      <c r="D106" s="292" t="str">
        <f ca="1">IF(ISERROR($S106),"",OFFSET('Smelter Reference List'!$C$4,$S106-4,0)&amp;"")</f>
        <v>Metallurgical Products India Pvt., Ltd.</v>
      </c>
      <c r="E106" s="292" t="str">
        <f ca="1">IF(ISERROR($S106),"",OFFSET('Smelter Reference List'!$D$4,$S106-4,0)&amp;"")</f>
        <v>INDIA</v>
      </c>
      <c r="F106" s="292" t="str">
        <f ca="1">IF(ISERROR($S106),"",OFFSET('Smelter Reference List'!$E$4,$S106-4,0))</f>
        <v>CID001163</v>
      </c>
      <c r="G106" s="292" t="str">
        <f ca="1">IF(C106=$U$4,"Enter smelter details", IF(ISERROR($S106),"",OFFSET('Smelter Reference List'!$F$4,$S106-4,0)))</f>
        <v>CFSI</v>
      </c>
      <c r="H106" s="293">
        <f ca="1">IF(ISERROR($S106),"",OFFSET('Smelter Reference List'!$G$4,$S106-4,0))</f>
        <v>0</v>
      </c>
      <c r="I106" s="294" t="str">
        <f ca="1">IF(ISERROR($S106),"",OFFSET('Smelter Reference List'!$H$4,$S106-4,0))</f>
        <v>District Raigad</v>
      </c>
      <c r="J106" s="294" t="str">
        <f ca="1">IF(ISERROR($S106),"",OFFSET('Smelter Reference List'!$I$4,$S106-4,0))</f>
        <v>Maharashtra</v>
      </c>
      <c r="K106" s="295"/>
      <c r="L106" s="295"/>
      <c r="M106" s="295"/>
      <c r="N106" s="295"/>
      <c r="O106" s="295"/>
      <c r="P106" s="295"/>
      <c r="Q106" s="296"/>
      <c r="R106" s="227"/>
      <c r="S106" s="228">
        <f ca="1">IF(C106="",NA(),MATCH($B106&amp;$C106,'Smelter Reference List'!$J:$J,0))</f>
        <v>279</v>
      </c>
      <c r="T106" s="229"/>
      <c r="U106" s="229">
        <f t="shared" ca="1" si="4"/>
        <v>0</v>
      </c>
      <c r="V106" s="229"/>
      <c r="W106" s="229"/>
      <c r="Y106" s="223" t="str">
        <f t="shared" ca="1" si="5"/>
        <v>TantalumMetallurgical Products India Pvt., Ltd.</v>
      </c>
    </row>
    <row r="107" spans="1:25" s="223" customFormat="1" ht="20.25">
      <c r="A107" s="291" t="s">
        <v>1355</v>
      </c>
      <c r="B107" s="292" t="str">
        <f ca="1">IF(LEN(A107)=0,"",INDEX('Smelter Reference List'!$A:$A,MATCH($A107,'Smelter Reference List'!$E:$E,0)))</f>
        <v>Tin</v>
      </c>
      <c r="C107" s="298" t="str">
        <f ca="1">IF(LEN(A107)=0,"",INDEX('Smelter Reference List'!$C:$C,MATCH($A107,'Smelter Reference List'!$E:$E,0)))</f>
        <v>Mineração Taboca S.A.</v>
      </c>
      <c r="D107" s="292" t="str">
        <f ca="1">IF(ISERROR($S107),"",OFFSET('Smelter Reference List'!$C$4,$S107-4,0)&amp;"")</f>
        <v>Mineração Taboca S.A.</v>
      </c>
      <c r="E107" s="292" t="str">
        <f ca="1">IF(ISERROR($S107),"",OFFSET('Smelter Reference List'!$D$4,$S107-4,0)&amp;"")</f>
        <v>BRAZIL</v>
      </c>
      <c r="F107" s="292" t="str">
        <f ca="1">IF(ISERROR($S107),"",OFFSET('Smelter Reference List'!$E$4,$S107-4,0))</f>
        <v>CID001173</v>
      </c>
      <c r="G107" s="292" t="str">
        <f ca="1">IF(C107=$U$4,"Enter smelter details", IF(ISERROR($S107),"",OFFSET('Smelter Reference List'!$F$4,$S107-4,0)))</f>
        <v>CFSI</v>
      </c>
      <c r="H107" s="293">
        <f ca="1">IF(ISERROR($S107),"",OFFSET('Smelter Reference List'!$G$4,$S107-4,0))</f>
        <v>0</v>
      </c>
      <c r="I107" s="294" t="str">
        <f ca="1">IF(ISERROR($S107),"",OFFSET('Smelter Reference List'!$H$4,$S107-4,0))</f>
        <v>Bairro Guarapiranga</v>
      </c>
      <c r="J107" s="294" t="str">
        <f ca="1">IF(ISERROR($S107),"",OFFSET('Smelter Reference List'!$I$4,$S107-4,0))</f>
        <v>São Paulo</v>
      </c>
      <c r="K107" s="295"/>
      <c r="L107" s="295"/>
      <c r="M107" s="295"/>
      <c r="N107" s="295"/>
      <c r="O107" s="295"/>
      <c r="P107" s="295"/>
      <c r="Q107" s="296"/>
      <c r="R107" s="227"/>
      <c r="S107" s="228">
        <f ca="1">IF(C107="",NA(),MATCH($B107&amp;$C107,'Smelter Reference List'!$J:$J,0))</f>
        <v>386</v>
      </c>
      <c r="T107" s="229"/>
      <c r="U107" s="229">
        <f t="shared" ca="1" si="4"/>
        <v>0</v>
      </c>
      <c r="V107" s="229"/>
      <c r="W107" s="229"/>
      <c r="Y107" s="223" t="str">
        <f t="shared" ca="1" si="5"/>
        <v>TinMineração Taboca S.A.</v>
      </c>
    </row>
    <row r="108" spans="1:25" s="223" customFormat="1" ht="20.25">
      <c r="A108" s="291" t="s">
        <v>1328</v>
      </c>
      <c r="B108" s="292" t="str">
        <f ca="1">IF(LEN(A108)=0,"",INDEX('Smelter Reference List'!$A:$A,MATCH($A108,'Smelter Reference List'!$E:$E,0)))</f>
        <v>Tantalum</v>
      </c>
      <c r="C108" s="298" t="str">
        <f ca="1">IF(LEN(A108)=0,"",INDEX('Smelter Reference List'!$C:$C,MATCH($A108,'Smelter Reference List'!$E:$E,0)))</f>
        <v>Mineração Taboca S.A.</v>
      </c>
      <c r="D108" s="292" t="str">
        <f ca="1">IF(ISERROR($S108),"",OFFSET('Smelter Reference List'!$C$4,$S108-4,0)&amp;"")</f>
        <v>Mineração Taboca S.A.</v>
      </c>
      <c r="E108" s="292" t="str">
        <f ca="1">IF(ISERROR($S108),"",OFFSET('Smelter Reference List'!$D$4,$S108-4,0)&amp;"")</f>
        <v>BRAZIL</v>
      </c>
      <c r="F108" s="292" t="str">
        <f ca="1">IF(ISERROR($S108),"",OFFSET('Smelter Reference List'!$E$4,$S108-4,0))</f>
        <v>CID001175</v>
      </c>
      <c r="G108" s="292" t="str">
        <f ca="1">IF(C108=$U$4,"Enter smelter details", IF(ISERROR($S108),"",OFFSET('Smelter Reference List'!$F$4,$S108-4,0)))</f>
        <v>CFSI</v>
      </c>
      <c r="H108" s="293">
        <f ca="1">IF(ISERROR($S108),"",OFFSET('Smelter Reference List'!$G$4,$S108-4,0))</f>
        <v>0</v>
      </c>
      <c r="I108" s="294" t="str">
        <f ca="1">IF(ISERROR($S108),"",OFFSET('Smelter Reference List'!$H$4,$S108-4,0))</f>
        <v>Presidente Figueiredo</v>
      </c>
      <c r="J108" s="294" t="str">
        <f ca="1">IF(ISERROR($S108),"",OFFSET('Smelter Reference List'!$I$4,$S108-4,0))</f>
        <v>Amazonas</v>
      </c>
      <c r="K108" s="295"/>
      <c r="L108" s="295"/>
      <c r="M108" s="295"/>
      <c r="N108" s="295"/>
      <c r="O108" s="295"/>
      <c r="P108" s="295"/>
      <c r="Q108" s="296"/>
      <c r="R108" s="227"/>
      <c r="S108" s="228">
        <f ca="1">IF(C108="",NA(),MATCH($B108&amp;$C108,'Smelter Reference List'!$J:$J,0))</f>
        <v>280</v>
      </c>
      <c r="T108" s="229"/>
      <c r="U108" s="229">
        <f t="shared" ca="1" si="4"/>
        <v>0</v>
      </c>
      <c r="V108" s="229"/>
      <c r="W108" s="229"/>
      <c r="Y108" s="223" t="str">
        <f t="shared" ca="1" si="5"/>
        <v>TantalumMineração Taboca S.A.</v>
      </c>
    </row>
    <row r="109" spans="1:25" s="223" customFormat="1" ht="20.25">
      <c r="A109" s="291" t="s">
        <v>1356</v>
      </c>
      <c r="B109" s="292" t="str">
        <f ca="1">IF(LEN(A109)=0,"",INDEX('Smelter Reference List'!$A:$A,MATCH($A109,'Smelter Reference List'!$E:$E,0)))</f>
        <v>Tin</v>
      </c>
      <c r="C109" s="298" t="str">
        <f ca="1">IF(LEN(A109)=0,"",INDEX('Smelter Reference List'!$C:$C,MATCH($A109,'Smelter Reference List'!$E:$E,0)))</f>
        <v>Minsur</v>
      </c>
      <c r="D109" s="292" t="str">
        <f ca="1">IF(ISERROR($S109),"",OFFSET('Smelter Reference List'!$C$4,$S109-4,0)&amp;"")</f>
        <v>Minsur</v>
      </c>
      <c r="E109" s="292" t="str">
        <f ca="1">IF(ISERROR($S109),"",OFFSET('Smelter Reference List'!$D$4,$S109-4,0)&amp;"")</f>
        <v>PERU</v>
      </c>
      <c r="F109" s="292" t="str">
        <f ca="1">IF(ISERROR($S109),"",OFFSET('Smelter Reference List'!$E$4,$S109-4,0))</f>
        <v>CID001182</v>
      </c>
      <c r="G109" s="292" t="str">
        <f ca="1">IF(C109=$U$4,"Enter smelter details", IF(ISERROR($S109),"",OFFSET('Smelter Reference List'!$F$4,$S109-4,0)))</f>
        <v>CFSI</v>
      </c>
      <c r="H109" s="293">
        <f ca="1">IF(ISERROR($S109),"",OFFSET('Smelter Reference List'!$G$4,$S109-4,0))</f>
        <v>0</v>
      </c>
      <c r="I109" s="294" t="str">
        <f ca="1">IF(ISERROR($S109),"",OFFSET('Smelter Reference List'!$H$4,$S109-4,0))</f>
        <v>Paracas</v>
      </c>
      <c r="J109" s="294" t="str">
        <f ca="1">IF(ISERROR($S109),"",OFFSET('Smelter Reference List'!$I$4,$S109-4,0))</f>
        <v>Ica</v>
      </c>
      <c r="K109" s="295"/>
      <c r="L109" s="295"/>
      <c r="M109" s="295"/>
      <c r="N109" s="295"/>
      <c r="O109" s="295"/>
      <c r="P109" s="295"/>
      <c r="Q109" s="296"/>
      <c r="R109" s="227"/>
      <c r="S109" s="228">
        <f ca="1">IF(C109="",NA(),MATCH($B109&amp;$C109,'Smelter Reference List'!$J:$J,0))</f>
        <v>387</v>
      </c>
      <c r="T109" s="229"/>
      <c r="U109" s="229">
        <f t="shared" ca="1" si="4"/>
        <v>0</v>
      </c>
      <c r="V109" s="229"/>
      <c r="W109" s="229"/>
      <c r="Y109" s="223" t="str">
        <f t="shared" ca="1" si="5"/>
        <v>TinMinsur</v>
      </c>
    </row>
    <row r="110" spans="1:25" s="223" customFormat="1" ht="20.25">
      <c r="A110" s="291" t="s">
        <v>1273</v>
      </c>
      <c r="B110" s="292" t="str">
        <f ca="1">IF(LEN(A110)=0,"",INDEX('Smelter Reference List'!$A:$A,MATCH($A110,'Smelter Reference List'!$E:$E,0)))</f>
        <v>Gold</v>
      </c>
      <c r="C110" s="298" t="str">
        <f ca="1">IF(LEN(A110)=0,"",INDEX('Smelter Reference List'!$C:$C,MATCH($A110,'Smelter Reference List'!$E:$E,0)))</f>
        <v>Mitsubishi Materials Corporation</v>
      </c>
      <c r="D110" s="292" t="str">
        <f ca="1">IF(ISERROR($S110),"",OFFSET('Smelter Reference List'!$C$4,$S110-4,0)&amp;"")</f>
        <v>Mitsubishi Materials Corporation</v>
      </c>
      <c r="E110" s="292" t="str">
        <f ca="1">IF(ISERROR($S110),"",OFFSET('Smelter Reference List'!$D$4,$S110-4,0)&amp;"")</f>
        <v>JAPAN</v>
      </c>
      <c r="F110" s="292" t="str">
        <f ca="1">IF(ISERROR($S110),"",OFFSET('Smelter Reference List'!$E$4,$S110-4,0))</f>
        <v>CID001188</v>
      </c>
      <c r="G110" s="292" t="str">
        <f ca="1">IF(C110=$U$4,"Enter smelter details", IF(ISERROR($S110),"",OFFSET('Smelter Reference List'!$F$4,$S110-4,0)))</f>
        <v>CFSI</v>
      </c>
      <c r="H110" s="293">
        <f ca="1">IF(ISERROR($S110),"",OFFSET('Smelter Reference List'!$G$4,$S110-4,0))</f>
        <v>0</v>
      </c>
      <c r="I110" s="294" t="str">
        <f ca="1">IF(ISERROR($S110),"",OFFSET('Smelter Reference List'!$H$4,$S110-4,0))</f>
        <v>Naoshima</v>
      </c>
      <c r="J110" s="294" t="str">
        <f ca="1">IF(ISERROR($S110),"",OFFSET('Smelter Reference List'!$I$4,$S110-4,0))</f>
        <v>Kagawa</v>
      </c>
      <c r="K110" s="295"/>
      <c r="L110" s="295"/>
      <c r="M110" s="295"/>
      <c r="N110" s="295"/>
      <c r="O110" s="295"/>
      <c r="P110" s="295"/>
      <c r="Q110" s="296"/>
      <c r="R110" s="227"/>
      <c r="S110" s="228">
        <f ca="1">IF(C110="",NA(),MATCH($B110&amp;$C110,'Smelter Reference List'!$J:$J,0))</f>
        <v>129</v>
      </c>
      <c r="T110" s="229"/>
      <c r="U110" s="229">
        <f t="shared" ca="1" si="4"/>
        <v>0</v>
      </c>
      <c r="V110" s="229"/>
      <c r="W110" s="229"/>
      <c r="Y110" s="223" t="str">
        <f t="shared" ca="1" si="5"/>
        <v>GoldMitsubishi Materials Corporation</v>
      </c>
    </row>
    <row r="111" spans="1:25" s="223" customFormat="1" ht="20.25">
      <c r="A111" s="291" t="s">
        <v>1357</v>
      </c>
      <c r="B111" s="292" t="str">
        <f ca="1">IF(LEN(A111)=0,"",INDEX('Smelter Reference List'!$A:$A,MATCH($A111,'Smelter Reference List'!$E:$E,0)))</f>
        <v>Tin</v>
      </c>
      <c r="C111" s="298" t="str">
        <f ca="1">IF(LEN(A111)=0,"",INDEX('Smelter Reference List'!$C:$C,MATCH($A111,'Smelter Reference List'!$E:$E,0)))</f>
        <v>Mitsubishi Materials Corporation</v>
      </c>
      <c r="D111" s="292" t="str">
        <f ca="1">IF(ISERROR($S111),"",OFFSET('Smelter Reference List'!$C$4,$S111-4,0)&amp;"")</f>
        <v>Mitsubishi Materials Corporation</v>
      </c>
      <c r="E111" s="292" t="str">
        <f ca="1">IF(ISERROR($S111),"",OFFSET('Smelter Reference List'!$D$4,$S111-4,0)&amp;"")</f>
        <v>JAPAN</v>
      </c>
      <c r="F111" s="292" t="str">
        <f ca="1">IF(ISERROR($S111),"",OFFSET('Smelter Reference List'!$E$4,$S111-4,0))</f>
        <v>CID001191</v>
      </c>
      <c r="G111" s="292" t="str">
        <f ca="1">IF(C111=$U$4,"Enter smelter details", IF(ISERROR($S111),"",OFFSET('Smelter Reference List'!$F$4,$S111-4,0)))</f>
        <v>CFSI</v>
      </c>
      <c r="H111" s="293">
        <f ca="1">IF(ISERROR($S111),"",OFFSET('Smelter Reference List'!$G$4,$S111-4,0))</f>
        <v>0</v>
      </c>
      <c r="I111" s="294" t="str">
        <f ca="1">IF(ISERROR($S111),"",OFFSET('Smelter Reference List'!$H$4,$S111-4,0))</f>
        <v>Asago</v>
      </c>
      <c r="J111" s="294" t="str">
        <f ca="1">IF(ISERROR($S111),"",OFFSET('Smelter Reference List'!$I$4,$S111-4,0))</f>
        <v>Hyogo</v>
      </c>
      <c r="K111" s="295"/>
      <c r="L111" s="295"/>
      <c r="M111" s="295"/>
      <c r="N111" s="295"/>
      <c r="O111" s="295"/>
      <c r="P111" s="295"/>
      <c r="Q111" s="296"/>
      <c r="R111" s="227"/>
      <c r="S111" s="228">
        <f ca="1">IF(C111="",NA(),MATCH($B111&amp;$C111,'Smelter Reference List'!$J:$J,0))</f>
        <v>388</v>
      </c>
      <c r="T111" s="229"/>
      <c r="U111" s="229">
        <f t="shared" ca="1" si="4"/>
        <v>0</v>
      </c>
      <c r="V111" s="229"/>
      <c r="W111" s="229"/>
      <c r="Y111" s="223" t="str">
        <f t="shared" ca="1" si="5"/>
        <v>TinMitsubishi Materials Corporation</v>
      </c>
    </row>
    <row r="112" spans="1:25" s="223" customFormat="1" ht="20.25">
      <c r="A112" s="291" t="s">
        <v>1329</v>
      </c>
      <c r="B112" s="292" t="str">
        <f ca="1">IF(LEN(A112)=0,"",INDEX('Smelter Reference List'!$A:$A,MATCH($A112,'Smelter Reference List'!$E:$E,0)))</f>
        <v>Tantalum</v>
      </c>
      <c r="C112" s="298" t="str">
        <f ca="1">IF(LEN(A112)=0,"",INDEX('Smelter Reference List'!$C:$C,MATCH($A112,'Smelter Reference List'!$E:$E,0)))</f>
        <v>Mitsui Mining and Smelting Co., Ltd.</v>
      </c>
      <c r="D112" s="292" t="str">
        <f ca="1">IF(ISERROR($S112),"",OFFSET('Smelter Reference List'!$C$4,$S112-4,0)&amp;"")</f>
        <v>Mitsui Mining and Smelting Co., Ltd.</v>
      </c>
      <c r="E112" s="292" t="str">
        <f ca="1">IF(ISERROR($S112),"",OFFSET('Smelter Reference List'!$D$4,$S112-4,0)&amp;"")</f>
        <v>JAPAN</v>
      </c>
      <c r="F112" s="292" t="str">
        <f ca="1">IF(ISERROR($S112),"",OFFSET('Smelter Reference List'!$E$4,$S112-4,0))</f>
        <v>CID001192</v>
      </c>
      <c r="G112" s="292" t="str">
        <f ca="1">IF(C112=$U$4,"Enter smelter details", IF(ISERROR($S112),"",OFFSET('Smelter Reference List'!$F$4,$S112-4,0)))</f>
        <v>CFSI</v>
      </c>
      <c r="H112" s="293">
        <f ca="1">IF(ISERROR($S112),"",OFFSET('Smelter Reference List'!$G$4,$S112-4,0))</f>
        <v>0</v>
      </c>
      <c r="I112" s="294" t="str">
        <f ca="1">IF(ISERROR($S112),"",OFFSET('Smelter Reference List'!$H$4,$S112-4,0))</f>
        <v>Omuta</v>
      </c>
      <c r="J112" s="294" t="str">
        <f ca="1">IF(ISERROR($S112),"",OFFSET('Smelter Reference List'!$I$4,$S112-4,0))</f>
        <v>Fukuoka</v>
      </c>
      <c r="K112" s="295"/>
      <c r="L112" s="295"/>
      <c r="M112" s="295"/>
      <c r="N112" s="295"/>
      <c r="O112" s="295"/>
      <c r="P112" s="295"/>
      <c r="Q112" s="296"/>
      <c r="R112" s="227"/>
      <c r="S112" s="228">
        <f ca="1">IF(C112="",NA(),MATCH($B112&amp;$C112,'Smelter Reference List'!$J:$J,0))</f>
        <v>281</v>
      </c>
      <c r="T112" s="229"/>
      <c r="U112" s="229">
        <f t="shared" ca="1" si="4"/>
        <v>0</v>
      </c>
      <c r="V112" s="229"/>
      <c r="W112" s="229"/>
      <c r="Y112" s="223" t="str">
        <f t="shared" ca="1" si="5"/>
        <v>TantalumMitsui Mining and Smelting Co., Ltd.</v>
      </c>
    </row>
    <row r="113" spans="1:25" s="223" customFormat="1" ht="20.25">
      <c r="A113" s="291" t="s">
        <v>1274</v>
      </c>
      <c r="B113" s="292" t="str">
        <f ca="1">IF(LEN(A113)=0,"",INDEX('Smelter Reference List'!$A:$A,MATCH($A113,'Smelter Reference List'!$E:$E,0)))</f>
        <v>Gold</v>
      </c>
      <c r="C113" s="298" t="str">
        <f ca="1">IF(LEN(A113)=0,"",INDEX('Smelter Reference List'!$C:$C,MATCH($A113,'Smelter Reference List'!$E:$E,0)))</f>
        <v>Mitsui Mining and Smelting Co., Ltd.</v>
      </c>
      <c r="D113" s="292" t="str">
        <f ca="1">IF(ISERROR($S113),"",OFFSET('Smelter Reference List'!$C$4,$S113-4,0)&amp;"")</f>
        <v>Mitsui Mining and Smelting Co., Ltd.</v>
      </c>
      <c r="E113" s="292" t="str">
        <f ca="1">IF(ISERROR($S113),"",OFFSET('Smelter Reference List'!$D$4,$S113-4,0)&amp;"")</f>
        <v>JAPAN</v>
      </c>
      <c r="F113" s="292" t="str">
        <f ca="1">IF(ISERROR($S113),"",OFFSET('Smelter Reference List'!$E$4,$S113-4,0))</f>
        <v>CID001193</v>
      </c>
      <c r="G113" s="292" t="str">
        <f ca="1">IF(C113=$U$4,"Enter smelter details", IF(ISERROR($S113),"",OFFSET('Smelter Reference List'!$F$4,$S113-4,0)))</f>
        <v>CFSI</v>
      </c>
      <c r="H113" s="293">
        <f ca="1">IF(ISERROR($S113),"",OFFSET('Smelter Reference List'!$G$4,$S113-4,0))</f>
        <v>0</v>
      </c>
      <c r="I113" s="294" t="str">
        <f ca="1">IF(ISERROR($S113),"",OFFSET('Smelter Reference List'!$H$4,$S113-4,0))</f>
        <v>Takehara</v>
      </c>
      <c r="J113" s="294" t="str">
        <f ca="1">IF(ISERROR($S113),"",OFFSET('Smelter Reference List'!$I$4,$S113-4,0))</f>
        <v>Hiroshima</v>
      </c>
      <c r="K113" s="295"/>
      <c r="L113" s="295"/>
      <c r="M113" s="295"/>
      <c r="N113" s="295"/>
      <c r="O113" s="295"/>
      <c r="P113" s="295"/>
      <c r="Q113" s="296"/>
      <c r="R113" s="227"/>
      <c r="S113" s="228">
        <f ca="1">IF(C113="",NA(),MATCH($B113&amp;$C113,'Smelter Reference List'!$J:$J,0))</f>
        <v>131</v>
      </c>
      <c r="T113" s="229"/>
      <c r="U113" s="229">
        <f t="shared" ca="1" si="4"/>
        <v>0</v>
      </c>
      <c r="V113" s="229"/>
      <c r="W113" s="229"/>
      <c r="Y113" s="223" t="str">
        <f t="shared" ca="1" si="5"/>
        <v>GoldMitsui Mining and Smelting Co., Ltd.</v>
      </c>
    </row>
    <row r="114" spans="1:25" s="223" customFormat="1" ht="20.25">
      <c r="A114" s="291" t="s">
        <v>1330</v>
      </c>
      <c r="B114" s="292" t="str">
        <f ca="1">IF(LEN(A114)=0,"",INDEX('Smelter Reference List'!$A:$A,MATCH($A114,'Smelter Reference List'!$E:$E,0)))</f>
        <v>Tantalum</v>
      </c>
      <c r="C114" s="298" t="str">
        <f ca="1">IF(LEN(A114)=0,"",INDEX('Smelter Reference List'!$C:$C,MATCH($A114,'Smelter Reference List'!$E:$E,0)))</f>
        <v>Molycorp Silmet A.S.</v>
      </c>
      <c r="D114" s="292" t="str">
        <f ca="1">IF(ISERROR($S114),"",OFFSET('Smelter Reference List'!$C$4,$S114-4,0)&amp;"")</f>
        <v>Molycorp Silmet A.S.</v>
      </c>
      <c r="E114" s="292" t="str">
        <f ca="1">IF(ISERROR($S114),"",OFFSET('Smelter Reference List'!$D$4,$S114-4,0)&amp;"")</f>
        <v>ESTONIA</v>
      </c>
      <c r="F114" s="292" t="str">
        <f ca="1">IF(ISERROR($S114),"",OFFSET('Smelter Reference List'!$E$4,$S114-4,0))</f>
        <v>CID001200</v>
      </c>
      <c r="G114" s="292" t="str">
        <f ca="1">IF(C114=$U$4,"Enter smelter details", IF(ISERROR($S114),"",OFFSET('Smelter Reference List'!$F$4,$S114-4,0)))</f>
        <v>CFSI</v>
      </c>
      <c r="H114" s="293">
        <f ca="1">IF(ISERROR($S114),"",OFFSET('Smelter Reference List'!$G$4,$S114-4,0))</f>
        <v>0</v>
      </c>
      <c r="I114" s="294" t="str">
        <f ca="1">IF(ISERROR($S114),"",OFFSET('Smelter Reference List'!$H$4,$S114-4,0))</f>
        <v>Sillamäe</v>
      </c>
      <c r="J114" s="294" t="str">
        <f ca="1">IF(ISERROR($S114),"",OFFSET('Smelter Reference List'!$I$4,$S114-4,0))</f>
        <v>Ida-Virumaa</v>
      </c>
      <c r="K114" s="295"/>
      <c r="L114" s="295"/>
      <c r="M114" s="295"/>
      <c r="N114" s="295"/>
      <c r="O114" s="295"/>
      <c r="P114" s="295"/>
      <c r="Q114" s="296"/>
      <c r="R114" s="227"/>
      <c r="S114" s="228">
        <f ca="1">IF(C114="",NA(),MATCH($B114&amp;$C114,'Smelter Reference List'!$J:$J,0))</f>
        <v>283</v>
      </c>
      <c r="T114" s="229"/>
      <c r="U114" s="229">
        <f t="shared" ca="1" si="4"/>
        <v>0</v>
      </c>
      <c r="V114" s="229"/>
      <c r="W114" s="229"/>
      <c r="Y114" s="223" t="str">
        <f t="shared" ca="1" si="5"/>
        <v>TantalumMolycorp Silmet A.S.</v>
      </c>
    </row>
    <row r="115" spans="1:25" s="223" customFormat="1" ht="20.25">
      <c r="A115" s="291" t="s">
        <v>1275</v>
      </c>
      <c r="B115" s="292" t="str">
        <f ca="1">IF(LEN(A115)=0,"",INDEX('Smelter Reference List'!$A:$A,MATCH($A115,'Smelter Reference List'!$E:$E,0)))</f>
        <v>Gold</v>
      </c>
      <c r="C115" s="298" t="str">
        <f ca="1">IF(LEN(A115)=0,"",INDEX('Smelter Reference List'!$C:$C,MATCH($A115,'Smelter Reference List'!$E:$E,0)))</f>
        <v>Moscow Special Alloys Processing Plant</v>
      </c>
      <c r="D115" s="292" t="str">
        <f ca="1">IF(ISERROR($S115),"",OFFSET('Smelter Reference List'!$C$4,$S115-4,0)&amp;"")</f>
        <v>Moscow Special Alloys Processing Plant</v>
      </c>
      <c r="E115" s="292" t="str">
        <f ca="1">IF(ISERROR($S115),"",OFFSET('Smelter Reference List'!$D$4,$S115-4,0)&amp;"")</f>
        <v>RUSSIAN FEDERATION</v>
      </c>
      <c r="F115" s="292" t="str">
        <f ca="1">IF(ISERROR($S115),"",OFFSET('Smelter Reference List'!$E$4,$S115-4,0))</f>
        <v>CID001204</v>
      </c>
      <c r="G115" s="292" t="str">
        <f ca="1">IF(C115=$U$4,"Enter smelter details", IF(ISERROR($S115),"",OFFSET('Smelter Reference List'!$F$4,$S115-4,0)))</f>
        <v>CFSI</v>
      </c>
      <c r="H115" s="293">
        <f ca="1">IF(ISERROR($S115),"",OFFSET('Smelter Reference List'!$G$4,$S115-4,0))</f>
        <v>0</v>
      </c>
      <c r="I115" s="294" t="str">
        <f ca="1">IF(ISERROR($S115),"",OFFSET('Smelter Reference List'!$H$4,$S115-4,0))</f>
        <v>Obrucheva</v>
      </c>
      <c r="J115" s="294" t="str">
        <f ca="1">IF(ISERROR($S115),"",OFFSET('Smelter Reference List'!$I$4,$S115-4,0))</f>
        <v>Moscow Region</v>
      </c>
      <c r="K115" s="295"/>
      <c r="L115" s="295"/>
      <c r="M115" s="295"/>
      <c r="N115" s="295"/>
      <c r="O115" s="295"/>
      <c r="P115" s="295"/>
      <c r="Q115" s="296"/>
      <c r="R115" s="227"/>
      <c r="S115" s="228">
        <f ca="1">IF(C115="",NA(),MATCH($B115&amp;$C115,'Smelter Reference List'!$J:$J,0))</f>
        <v>136</v>
      </c>
      <c r="T115" s="229"/>
      <c r="U115" s="229">
        <f t="shared" ca="1" si="4"/>
        <v>0</v>
      </c>
      <c r="V115" s="229"/>
      <c r="W115" s="229"/>
      <c r="Y115" s="223" t="str">
        <f t="shared" ca="1" si="5"/>
        <v>GoldMoscow Special Alloys Processing Plant</v>
      </c>
    </row>
    <row r="116" spans="1:25" s="223" customFormat="1" ht="20.25">
      <c r="A116" s="291" t="s">
        <v>1276</v>
      </c>
      <c r="B116" s="292" t="str">
        <f ca="1">IF(LEN(A116)=0,"",INDEX('Smelter Reference List'!$A:$A,MATCH($A116,'Smelter Reference List'!$E:$E,0)))</f>
        <v>Gold</v>
      </c>
      <c r="C116" s="298" t="str">
        <f ca="1">IF(LEN(A116)=0,"",INDEX('Smelter Reference List'!$C:$C,MATCH($A116,'Smelter Reference List'!$E:$E,0)))</f>
        <v>Nadir Metal Rafineri San. Ve Tic. A.Ş.</v>
      </c>
      <c r="D116" s="292" t="str">
        <f ca="1">IF(ISERROR($S116),"",OFFSET('Smelter Reference List'!$C$4,$S116-4,0)&amp;"")</f>
        <v>Nadir Metal Rafineri San. Ve Tic. A.Ş.</v>
      </c>
      <c r="E116" s="292" t="str">
        <f ca="1">IF(ISERROR($S116),"",OFFSET('Smelter Reference List'!$D$4,$S116-4,0)&amp;"")</f>
        <v>TURKEY</v>
      </c>
      <c r="F116" s="292" t="str">
        <f ca="1">IF(ISERROR($S116),"",OFFSET('Smelter Reference List'!$E$4,$S116-4,0))</f>
        <v>CID001220</v>
      </c>
      <c r="G116" s="292" t="str">
        <f ca="1">IF(C116=$U$4,"Enter smelter details", IF(ISERROR($S116),"",OFFSET('Smelter Reference List'!$F$4,$S116-4,0)))</f>
        <v>CFSI</v>
      </c>
      <c r="H116" s="293">
        <f ca="1">IF(ISERROR($S116),"",OFFSET('Smelter Reference List'!$G$4,$S116-4,0))</f>
        <v>0</v>
      </c>
      <c r="I116" s="294" t="str">
        <f ca="1">IF(ISERROR($S116),"",OFFSET('Smelter Reference List'!$H$4,$S116-4,0))</f>
        <v>Bahçelievler</v>
      </c>
      <c r="J116" s="294" t="str">
        <f ca="1">IF(ISERROR($S116),"",OFFSET('Smelter Reference List'!$I$4,$S116-4,0))</f>
        <v>Istanbul</v>
      </c>
      <c r="K116" s="295"/>
      <c r="L116" s="295"/>
      <c r="M116" s="295"/>
      <c r="N116" s="295"/>
      <c r="O116" s="295"/>
      <c r="P116" s="295"/>
      <c r="Q116" s="296"/>
      <c r="R116" s="227"/>
      <c r="S116" s="228">
        <f ca="1">IF(C116="",NA(),MATCH($B116&amp;$C116,'Smelter Reference List'!$J:$J,0))</f>
        <v>137</v>
      </c>
      <c r="T116" s="229"/>
      <c r="U116" s="229">
        <f t="shared" ca="1" si="4"/>
        <v>0</v>
      </c>
      <c r="V116" s="229"/>
      <c r="W116" s="229"/>
      <c r="Y116" s="223" t="str">
        <f t="shared" ca="1" si="5"/>
        <v>GoldNadir Metal Rafineri San. Ve Tic. A.Ş.</v>
      </c>
    </row>
    <row r="117" spans="1:25" s="223" customFormat="1" ht="20.25">
      <c r="A117" s="291" t="s">
        <v>3415</v>
      </c>
      <c r="B117" s="292" t="str">
        <f ca="1">IF(LEN(A117)=0,"",INDEX('Smelter Reference List'!$A:$A,MATCH($A117,'Smelter Reference List'!$E:$E,0)))</f>
        <v>Tin</v>
      </c>
      <c r="C117" s="298" t="str">
        <f ca="1">IF(LEN(A117)=0,"",INDEX('Smelter Reference List'!$C:$C,MATCH($A117,'Smelter Reference List'!$E:$E,0)))</f>
        <v>Nankang Nanshan Tin Manufactory Co., Ltd.</v>
      </c>
      <c r="D117" s="292" t="str">
        <f ca="1">IF(ISERROR($S117),"",OFFSET('Smelter Reference List'!$C$4,$S117-4,0)&amp;"")</f>
        <v>Nankang Nanshan Tin Manufactory Co., Ltd.</v>
      </c>
      <c r="E117" s="292" t="str">
        <f ca="1">IF(ISERROR($S117),"",OFFSET('Smelter Reference List'!$D$4,$S117-4,0)&amp;"")</f>
        <v>CHINA</v>
      </c>
      <c r="F117" s="292" t="str">
        <f ca="1">IF(ISERROR($S117),"",OFFSET('Smelter Reference List'!$E$4,$S117-4,0))</f>
        <v>CID001231</v>
      </c>
      <c r="G117" s="292" t="str">
        <f ca="1">IF(C117=$U$4,"Enter smelter details", IF(ISERROR($S117),"",OFFSET('Smelter Reference List'!$F$4,$S117-4,0)))</f>
        <v>CFSI</v>
      </c>
      <c r="H117" s="293">
        <f ca="1">IF(ISERROR($S117),"",OFFSET('Smelter Reference List'!$G$4,$S117-4,0))</f>
        <v>0</v>
      </c>
      <c r="I117" s="294" t="str">
        <f ca="1">IF(ISERROR($S117),"",OFFSET('Smelter Reference List'!$H$4,$S117-4,0))</f>
        <v>Ganzhou</v>
      </c>
      <c r="J117" s="294" t="str">
        <f ca="1">IF(ISERROR($S117),"",OFFSET('Smelter Reference List'!$I$4,$S117-4,0))</f>
        <v>Jiangxi</v>
      </c>
      <c r="K117" s="295"/>
      <c r="L117" s="295"/>
      <c r="M117" s="295"/>
      <c r="N117" s="295"/>
      <c r="O117" s="295"/>
      <c r="P117" s="295"/>
      <c r="Q117" s="296"/>
      <c r="R117" s="227"/>
      <c r="S117" s="228">
        <f ca="1">IF(C117="",NA(),MATCH($B117&amp;$C117,'Smelter Reference List'!$J:$J,0))</f>
        <v>391</v>
      </c>
      <c r="T117" s="229"/>
      <c r="U117" s="229">
        <f t="shared" ca="1" si="4"/>
        <v>0</v>
      </c>
      <c r="V117" s="229"/>
      <c r="W117" s="229"/>
      <c r="Y117" s="223" t="str">
        <f t="shared" ca="1" si="5"/>
        <v>TinNankang Nanshan Tin Manufactory Co., Ltd.</v>
      </c>
    </row>
    <row r="118" spans="1:25" s="223" customFormat="1" ht="20.25">
      <c r="A118" s="291" t="s">
        <v>1277</v>
      </c>
      <c r="B118" s="292" t="str">
        <f ca="1">IF(LEN(A118)=0,"",INDEX('Smelter Reference List'!$A:$A,MATCH($A118,'Smelter Reference List'!$E:$E,0)))</f>
        <v>Gold</v>
      </c>
      <c r="C118" s="298" t="str">
        <f ca="1">IF(LEN(A118)=0,"",INDEX('Smelter Reference List'!$C:$C,MATCH($A118,'Smelter Reference List'!$E:$E,0)))</f>
        <v>Navoi Mining and Metallurgical Combinat</v>
      </c>
      <c r="D118" s="292" t="str">
        <f ca="1">IF(ISERROR($S118),"",OFFSET('Smelter Reference List'!$C$4,$S118-4,0)&amp;"")</f>
        <v>Navoi Mining and Metallurgical Combinat</v>
      </c>
      <c r="E118" s="292" t="str">
        <f ca="1">IF(ISERROR($S118),"",OFFSET('Smelter Reference List'!$D$4,$S118-4,0)&amp;"")</f>
        <v>UZBEKISTAN</v>
      </c>
      <c r="F118" s="292" t="str">
        <f ca="1">IF(ISERROR($S118),"",OFFSET('Smelter Reference List'!$E$4,$S118-4,0))</f>
        <v>CID001236</v>
      </c>
      <c r="G118" s="292" t="str">
        <f ca="1">IF(C118=$U$4,"Enter smelter details", IF(ISERROR($S118),"",OFFSET('Smelter Reference List'!$F$4,$S118-4,0)))</f>
        <v>CFSI</v>
      </c>
      <c r="H118" s="293">
        <f ca="1">IF(ISERROR($S118),"",OFFSET('Smelter Reference List'!$G$4,$S118-4,0))</f>
        <v>0</v>
      </c>
      <c r="I118" s="294" t="str">
        <f ca="1">IF(ISERROR($S118),"",OFFSET('Smelter Reference List'!$H$4,$S118-4,0))</f>
        <v>Navoi</v>
      </c>
      <c r="J118" s="294" t="str">
        <f ca="1">IF(ISERROR($S118),"",OFFSET('Smelter Reference List'!$I$4,$S118-4,0))</f>
        <v>Navoi Province</v>
      </c>
      <c r="K118" s="295"/>
      <c r="L118" s="295"/>
      <c r="M118" s="295"/>
      <c r="N118" s="295"/>
      <c r="O118" s="295"/>
      <c r="P118" s="295"/>
      <c r="Q118" s="296"/>
      <c r="R118" s="227"/>
      <c r="S118" s="228">
        <f ca="1">IF(C118="",NA(),MATCH($B118&amp;$C118,'Smelter Reference List'!$J:$J,0))</f>
        <v>138</v>
      </c>
      <c r="T118" s="229"/>
      <c r="U118" s="229">
        <f t="shared" ca="1" si="4"/>
        <v>0</v>
      </c>
      <c r="V118" s="229"/>
      <c r="W118" s="229"/>
      <c r="Y118" s="223" t="str">
        <f t="shared" ca="1" si="5"/>
        <v>GoldNavoi Mining and Metallurgical Combinat</v>
      </c>
    </row>
    <row r="119" spans="1:25" s="223" customFormat="1" ht="20.25">
      <c r="A119" s="291" t="s">
        <v>1278</v>
      </c>
      <c r="B119" s="292" t="str">
        <f ca="1">IF(LEN(A119)=0,"",INDEX('Smelter Reference List'!$A:$A,MATCH($A119,'Smelter Reference List'!$E:$E,0)))</f>
        <v>Gold</v>
      </c>
      <c r="C119" s="298" t="str">
        <f ca="1">IF(LEN(A119)=0,"",INDEX('Smelter Reference List'!$C:$C,MATCH($A119,'Smelter Reference List'!$E:$E,0)))</f>
        <v>Nihon Material Co., Ltd.</v>
      </c>
      <c r="D119" s="292" t="str">
        <f ca="1">IF(ISERROR($S119),"",OFFSET('Smelter Reference List'!$C$4,$S119-4,0)&amp;"")</f>
        <v>Nihon Material Co., Ltd.</v>
      </c>
      <c r="E119" s="292" t="str">
        <f ca="1">IF(ISERROR($S119),"",OFFSET('Smelter Reference List'!$D$4,$S119-4,0)&amp;"")</f>
        <v>JAPAN</v>
      </c>
      <c r="F119" s="292" t="str">
        <f ca="1">IF(ISERROR($S119),"",OFFSET('Smelter Reference List'!$E$4,$S119-4,0))</f>
        <v>CID001259</v>
      </c>
      <c r="G119" s="292" t="str">
        <f ca="1">IF(C119=$U$4,"Enter smelter details", IF(ISERROR($S119),"",OFFSET('Smelter Reference List'!$F$4,$S119-4,0)))</f>
        <v>CFSI</v>
      </c>
      <c r="H119" s="293">
        <f ca="1">IF(ISERROR($S119),"",OFFSET('Smelter Reference List'!$G$4,$S119-4,0))</f>
        <v>0</v>
      </c>
      <c r="I119" s="294" t="str">
        <f ca="1">IF(ISERROR($S119),"",OFFSET('Smelter Reference List'!$H$4,$S119-4,0))</f>
        <v>Noda</v>
      </c>
      <c r="J119" s="294" t="str">
        <f ca="1">IF(ISERROR($S119),"",OFFSET('Smelter Reference List'!$I$4,$S119-4,0))</f>
        <v>Chiba</v>
      </c>
      <c r="K119" s="295"/>
      <c r="L119" s="295"/>
      <c r="M119" s="295"/>
      <c r="N119" s="295"/>
      <c r="O119" s="295"/>
      <c r="P119" s="295"/>
      <c r="Q119" s="296"/>
      <c r="R119" s="227"/>
      <c r="S119" s="228">
        <f ca="1">IF(C119="",NA(),MATCH($B119&amp;$C119,'Smelter Reference List'!$J:$J,0))</f>
        <v>139</v>
      </c>
      <c r="T119" s="229"/>
      <c r="U119" s="229">
        <f t="shared" ca="1" si="4"/>
        <v>0</v>
      </c>
      <c r="V119" s="229"/>
      <c r="W119" s="229"/>
      <c r="Y119" s="223" t="str">
        <f t="shared" ca="1" si="5"/>
        <v>GoldNihon Material Co., Ltd.</v>
      </c>
    </row>
    <row r="120" spans="1:25" s="223" customFormat="1" ht="20.25">
      <c r="A120" s="291" t="s">
        <v>1331</v>
      </c>
      <c r="B120" s="292" t="str">
        <f ca="1">IF(LEN(A120)=0,"",INDEX('Smelter Reference List'!$A:$A,MATCH($A120,'Smelter Reference List'!$E:$E,0)))</f>
        <v>Tantalum</v>
      </c>
      <c r="C120" s="298" t="str">
        <f ca="1">IF(LEN(A120)=0,"",INDEX('Smelter Reference List'!$C:$C,MATCH($A120,'Smelter Reference List'!$E:$E,0)))</f>
        <v>Ningxia Orient Tantalum Industry Co., Ltd.</v>
      </c>
      <c r="D120" s="292" t="str">
        <f ca="1">IF(ISERROR($S120),"",OFFSET('Smelter Reference List'!$C$4,$S120-4,0)&amp;"")</f>
        <v>Ningxia Orient Tantalum Industry Co., Ltd.</v>
      </c>
      <c r="E120" s="292" t="str">
        <f ca="1">IF(ISERROR($S120),"",OFFSET('Smelter Reference List'!$D$4,$S120-4,0)&amp;"")</f>
        <v>CHINA</v>
      </c>
      <c r="F120" s="292" t="str">
        <f ca="1">IF(ISERROR($S120),"",OFFSET('Smelter Reference List'!$E$4,$S120-4,0))</f>
        <v>CID001277</v>
      </c>
      <c r="G120" s="292" t="str">
        <f ca="1">IF(C120=$U$4,"Enter smelter details", IF(ISERROR($S120),"",OFFSET('Smelter Reference List'!$F$4,$S120-4,0)))</f>
        <v>CFSI</v>
      </c>
      <c r="H120" s="293">
        <f ca="1">IF(ISERROR($S120),"",OFFSET('Smelter Reference List'!$G$4,$S120-4,0))</f>
        <v>0</v>
      </c>
      <c r="I120" s="294" t="str">
        <f ca="1">IF(ISERROR($S120),"",OFFSET('Smelter Reference List'!$H$4,$S120-4,0))</f>
        <v>Shizuishan City</v>
      </c>
      <c r="J120" s="294" t="str">
        <f ca="1">IF(ISERROR($S120),"",OFFSET('Smelter Reference List'!$I$4,$S120-4,0))</f>
        <v>Ningxia</v>
      </c>
      <c r="K120" s="295"/>
      <c r="L120" s="295"/>
      <c r="M120" s="295"/>
      <c r="N120" s="295"/>
      <c r="O120" s="295"/>
      <c r="P120" s="295"/>
      <c r="Q120" s="296"/>
      <c r="R120" s="227"/>
      <c r="S120" s="228">
        <f ca="1">IF(C120="",NA(),MATCH($B120&amp;$C120,'Smelter Reference List'!$J:$J,0))</f>
        <v>284</v>
      </c>
      <c r="T120" s="229"/>
      <c r="U120" s="229">
        <f t="shared" ca="1" si="4"/>
        <v>0</v>
      </c>
      <c r="V120" s="229"/>
      <c r="W120" s="229"/>
      <c r="Y120" s="223" t="str">
        <f t="shared" ca="1" si="5"/>
        <v>TantalumNingxia Orient Tantalum Industry Co., Ltd.</v>
      </c>
    </row>
    <row r="121" spans="1:25" s="223" customFormat="1" ht="20.25">
      <c r="A121" s="291" t="s">
        <v>1359</v>
      </c>
      <c r="B121" s="292" t="str">
        <f ca="1">IF(LEN(A121)=0,"",INDEX('Smelter Reference List'!$A:$A,MATCH($A121,'Smelter Reference List'!$E:$E,0)))</f>
        <v>Tin</v>
      </c>
      <c r="C121" s="298" t="str">
        <f ca="1">IF(LEN(A121)=0,"",INDEX('Smelter Reference List'!$C:$C,MATCH($A121,'Smelter Reference List'!$E:$E,0)))</f>
        <v>O.M. Manufacturing (Thailand) Co., Ltd.</v>
      </c>
      <c r="D121" s="292" t="str">
        <f ca="1">IF(ISERROR($S121),"",OFFSET('Smelter Reference List'!$C$4,$S121-4,0)&amp;"")</f>
        <v>O.M. Manufacturing (Thailand) Co., Ltd.</v>
      </c>
      <c r="E121" s="292" t="str">
        <f ca="1">IF(ISERROR($S121),"",OFFSET('Smelter Reference List'!$D$4,$S121-4,0)&amp;"")</f>
        <v>THAILAND</v>
      </c>
      <c r="F121" s="292" t="str">
        <f ca="1">IF(ISERROR($S121),"",OFFSET('Smelter Reference List'!$E$4,$S121-4,0))</f>
        <v>CID001314</v>
      </c>
      <c r="G121" s="292" t="str">
        <f ca="1">IF(C121=$U$4,"Enter smelter details", IF(ISERROR($S121),"",OFFSET('Smelter Reference List'!$F$4,$S121-4,0)))</f>
        <v>CFSI</v>
      </c>
      <c r="H121" s="293">
        <f ca="1">IF(ISERROR($S121),"",OFFSET('Smelter Reference List'!$G$4,$S121-4,0))</f>
        <v>0</v>
      </c>
      <c r="I121" s="294" t="str">
        <f ca="1">IF(ISERROR($S121),"",OFFSET('Smelter Reference List'!$H$4,$S121-4,0))</f>
        <v>Nongkham Sriracha</v>
      </c>
      <c r="J121" s="294" t="str">
        <f ca="1">IF(ISERROR($S121),"",OFFSET('Smelter Reference List'!$I$4,$S121-4,0))</f>
        <v>Chonburi</v>
      </c>
      <c r="K121" s="295"/>
      <c r="L121" s="295"/>
      <c r="M121" s="295"/>
      <c r="N121" s="295"/>
      <c r="O121" s="295"/>
      <c r="P121" s="295"/>
      <c r="Q121" s="296"/>
      <c r="R121" s="227"/>
      <c r="S121" s="228">
        <f ca="1">IF(C121="",NA(),MATCH($B121&amp;$C121,'Smelter Reference List'!$J:$J,0))</f>
        <v>394</v>
      </c>
      <c r="T121" s="229"/>
      <c r="U121" s="229">
        <f t="shared" ca="1" si="4"/>
        <v>0</v>
      </c>
      <c r="V121" s="229"/>
      <c r="W121" s="229"/>
      <c r="Y121" s="223" t="str">
        <f t="shared" ca="1" si="5"/>
        <v>TinO.M. Manufacturing (Thailand) Co., Ltd.</v>
      </c>
    </row>
    <row r="122" spans="1:25" s="223" customFormat="1" ht="20.25">
      <c r="A122" s="291" t="s">
        <v>1279</v>
      </c>
      <c r="B122" s="292" t="str">
        <f ca="1">IF(LEN(A122)=0,"",INDEX('Smelter Reference List'!$A:$A,MATCH($A122,'Smelter Reference List'!$E:$E,0)))</f>
        <v>Gold</v>
      </c>
      <c r="C122" s="298" t="str">
        <f ca="1">IF(LEN(A122)=0,"",INDEX('Smelter Reference List'!$C:$C,MATCH($A122,'Smelter Reference List'!$E:$E,0)))</f>
        <v>Elemetal Refining, LLC</v>
      </c>
      <c r="D122" s="292" t="str">
        <f ca="1">IF(ISERROR($S122),"",OFFSET('Smelter Reference List'!$C$4,$S122-4,0)&amp;"")</f>
        <v>Elemetal Refining, LLC</v>
      </c>
      <c r="E122" s="292" t="str">
        <f ca="1">IF(ISERROR($S122),"",OFFSET('Smelter Reference List'!$D$4,$S122-4,0)&amp;"")</f>
        <v>UNITED STATES OF AMERICA</v>
      </c>
      <c r="F122" s="292" t="str">
        <f ca="1">IF(ISERROR($S122),"",OFFSET('Smelter Reference List'!$E$4,$S122-4,0))</f>
        <v>CID001322</v>
      </c>
      <c r="G122" s="292" t="str">
        <f ca="1">IF(C122=$U$4,"Enter smelter details", IF(ISERROR($S122),"",OFFSET('Smelter Reference List'!$F$4,$S122-4,0)))</f>
        <v>CFSI</v>
      </c>
      <c r="H122" s="293">
        <f ca="1">IF(ISERROR($S122),"",OFFSET('Smelter Reference List'!$G$4,$S122-4,0))</f>
        <v>0</v>
      </c>
      <c r="I122" s="294" t="str">
        <f ca="1">IF(ISERROR($S122),"",OFFSET('Smelter Reference List'!$H$4,$S122-4,0))</f>
        <v>Jackson</v>
      </c>
      <c r="J122" s="294" t="str">
        <f ca="1">IF(ISERROR($S122),"",OFFSET('Smelter Reference List'!$I$4,$S122-4,0))</f>
        <v>Ohio</v>
      </c>
      <c r="K122" s="295"/>
      <c r="L122" s="295"/>
      <c r="M122" s="295"/>
      <c r="N122" s="295"/>
      <c r="O122" s="295"/>
      <c r="P122" s="295"/>
      <c r="Q122" s="296"/>
      <c r="R122" s="227"/>
      <c r="S122" s="228">
        <f ca="1">IF(C122="",NA(),MATCH($B122&amp;$C122,'Smelter Reference List'!$J:$J,0))</f>
        <v>57</v>
      </c>
      <c r="T122" s="229"/>
      <c r="U122" s="229">
        <f t="shared" ca="1" si="4"/>
        <v>0</v>
      </c>
      <c r="V122" s="229"/>
      <c r="W122" s="229"/>
      <c r="Y122" s="223" t="str">
        <f t="shared" ca="1" si="5"/>
        <v>GoldElemetal Refining, LLC</v>
      </c>
    </row>
    <row r="123" spans="1:25" s="223" customFormat="1" ht="20.25">
      <c r="A123" s="291" t="s">
        <v>1280</v>
      </c>
      <c r="B123" s="292" t="str">
        <f ca="1">IF(LEN(A123)=0,"",INDEX('Smelter Reference List'!$A:$A,MATCH($A123,'Smelter Reference List'!$E:$E,0)))</f>
        <v>Gold</v>
      </c>
      <c r="C123" s="298" t="str">
        <f ca="1">IF(LEN(A123)=0,"",INDEX('Smelter Reference List'!$C:$C,MATCH($A123,'Smelter Reference List'!$E:$E,0)))</f>
        <v>Ohura Precious Metal Industry Co., Ltd.</v>
      </c>
      <c r="D123" s="292" t="str">
        <f ca="1">IF(ISERROR($S123),"",OFFSET('Smelter Reference List'!$C$4,$S123-4,0)&amp;"")</f>
        <v>Ohura Precious Metal Industry Co., Ltd.</v>
      </c>
      <c r="E123" s="292" t="str">
        <f ca="1">IF(ISERROR($S123),"",OFFSET('Smelter Reference List'!$D$4,$S123-4,0)&amp;"")</f>
        <v>JAPAN</v>
      </c>
      <c r="F123" s="292" t="str">
        <f ca="1">IF(ISERROR($S123),"",OFFSET('Smelter Reference List'!$E$4,$S123-4,0))</f>
        <v>CID001325</v>
      </c>
      <c r="G123" s="292" t="str">
        <f ca="1">IF(C123=$U$4,"Enter smelter details", IF(ISERROR($S123),"",OFFSET('Smelter Reference List'!$F$4,$S123-4,0)))</f>
        <v>CFSI</v>
      </c>
      <c r="H123" s="293">
        <f ca="1">IF(ISERROR($S123),"",OFFSET('Smelter Reference List'!$G$4,$S123-4,0))</f>
        <v>0</v>
      </c>
      <c r="I123" s="294" t="str">
        <f ca="1">IF(ISERROR($S123),"",OFFSET('Smelter Reference List'!$H$4,$S123-4,0))</f>
        <v>Nara-shi</v>
      </c>
      <c r="J123" s="294" t="str">
        <f ca="1">IF(ISERROR($S123),"",OFFSET('Smelter Reference List'!$I$4,$S123-4,0))</f>
        <v>Nara</v>
      </c>
      <c r="K123" s="295"/>
      <c r="L123" s="295"/>
      <c r="M123" s="295"/>
      <c r="N123" s="295"/>
      <c r="O123" s="295"/>
      <c r="P123" s="295"/>
      <c r="Q123" s="296"/>
      <c r="R123" s="227"/>
      <c r="S123" s="228">
        <f ca="1">IF(C123="",NA(),MATCH($B123&amp;$C123,'Smelter Reference List'!$J:$J,0))</f>
        <v>143</v>
      </c>
      <c r="T123" s="229"/>
      <c r="U123" s="229">
        <f t="shared" ca="1" si="4"/>
        <v>0</v>
      </c>
      <c r="V123" s="229"/>
      <c r="W123" s="229"/>
      <c r="Y123" s="223" t="str">
        <f t="shared" ca="1" si="5"/>
        <v>GoldOhura Precious Metal Industry Co., Ltd.</v>
      </c>
    </row>
    <row r="124" spans="1:25" s="223" customFormat="1" ht="20.25">
      <c r="A124" s="291" t="s">
        <v>1281</v>
      </c>
      <c r="B124" s="292" t="str">
        <f ca="1">IF(LEN(A124)=0,"",INDEX('Smelter Reference List'!$A:$A,MATCH($A124,'Smelter Reference List'!$E:$E,0)))</f>
        <v>Gold</v>
      </c>
      <c r="C124" s="298" t="str">
        <f ca="1">IF(LEN(A124)=0,"",INDEX('Smelter Reference List'!$C:$C,MATCH($A124,'Smelter Reference List'!$E:$E,0)))</f>
        <v>OJSC "The Gulidov Krasnoyarsk Non-Ferrous Metals Plant" (OJSC Krastsvetmet)</v>
      </c>
      <c r="D124" s="292" t="str">
        <f ca="1">IF(ISERROR($S124),"",OFFSET('Smelter Reference List'!$C$4,$S124-4,0)&amp;"")</f>
        <v>OJSC "The Gulidov Krasnoyarsk Non-Ferrous Metals Plant" (OJSC Krastsvetmet)</v>
      </c>
      <c r="E124" s="292" t="str">
        <f ca="1">IF(ISERROR($S124),"",OFFSET('Smelter Reference List'!$D$4,$S124-4,0)&amp;"")</f>
        <v>RUSSIAN FEDERATION</v>
      </c>
      <c r="F124" s="292" t="str">
        <f ca="1">IF(ISERROR($S124),"",OFFSET('Smelter Reference List'!$E$4,$S124-4,0))</f>
        <v>CID001326</v>
      </c>
      <c r="G124" s="292" t="str">
        <f ca="1">IF(C124=$U$4,"Enter smelter details", IF(ISERROR($S124),"",OFFSET('Smelter Reference List'!$F$4,$S124-4,0)))</f>
        <v>CFSI</v>
      </c>
      <c r="H124" s="293">
        <f ca="1">IF(ISERROR($S124),"",OFFSET('Smelter Reference List'!$G$4,$S124-4,0))</f>
        <v>0</v>
      </c>
      <c r="I124" s="294" t="str">
        <f ca="1">IF(ISERROR($S124),"",OFFSET('Smelter Reference List'!$H$4,$S124-4,0))</f>
        <v>Krasnoyarsk</v>
      </c>
      <c r="J124" s="294" t="str">
        <f ca="1">IF(ISERROR($S124),"",OFFSET('Smelter Reference List'!$I$4,$S124-4,0))</f>
        <v>Krasnoyarsk Krai</v>
      </c>
      <c r="K124" s="295"/>
      <c r="L124" s="295"/>
      <c r="M124" s="295"/>
      <c r="N124" s="295"/>
      <c r="O124" s="295"/>
      <c r="P124" s="295"/>
      <c r="Q124" s="296"/>
      <c r="R124" s="227"/>
      <c r="S124" s="228">
        <f ca="1">IF(C124="",NA(),MATCH($B124&amp;$C124,'Smelter Reference List'!$J:$J,0))</f>
        <v>144</v>
      </c>
      <c r="T124" s="229"/>
      <c r="U124" s="229">
        <f t="shared" ca="1" si="4"/>
        <v>0</v>
      </c>
      <c r="V124" s="229"/>
      <c r="W124" s="229"/>
      <c r="Y124" s="223" t="str">
        <f t="shared" ca="1" si="5"/>
        <v>GoldOJSC "The Gulidov Krasnoyarsk Non-Ferrous Metals Plant" (OJSC Krastsvetmet)</v>
      </c>
    </row>
    <row r="125" spans="1:25" s="223" customFormat="1" ht="20.25">
      <c r="A125" s="291" t="s">
        <v>1360</v>
      </c>
      <c r="B125" s="292" t="str">
        <f ca="1">IF(LEN(A125)=0,"",INDEX('Smelter Reference List'!$A:$A,MATCH($A125,'Smelter Reference List'!$E:$E,0)))</f>
        <v>Tin</v>
      </c>
      <c r="C125" s="298" t="str">
        <f ca="1">IF(LEN(A125)=0,"",INDEX('Smelter Reference List'!$C:$C,MATCH($A125,'Smelter Reference List'!$E:$E,0)))</f>
        <v>Operaciones Metalurgical S.A.</v>
      </c>
      <c r="D125" s="292" t="str">
        <f ca="1">IF(ISERROR($S125),"",OFFSET('Smelter Reference List'!$C$4,$S125-4,0)&amp;"")</f>
        <v>Operaciones Metalurgical S.A.</v>
      </c>
      <c r="E125" s="292" t="str">
        <f ca="1">IF(ISERROR($S125),"",OFFSET('Smelter Reference List'!$D$4,$S125-4,0)&amp;"")</f>
        <v>BOLIVIA (PLURINATIONAL STATE OF)</v>
      </c>
      <c r="F125" s="292" t="str">
        <f ca="1">IF(ISERROR($S125),"",OFFSET('Smelter Reference List'!$E$4,$S125-4,0))</f>
        <v>CID001337</v>
      </c>
      <c r="G125" s="292" t="str">
        <f ca="1">IF(C125=$U$4,"Enter smelter details", IF(ISERROR($S125),"",OFFSET('Smelter Reference List'!$F$4,$S125-4,0)))</f>
        <v>CFSI</v>
      </c>
      <c r="H125" s="293">
        <f ca="1">IF(ISERROR($S125),"",OFFSET('Smelter Reference List'!$G$4,$S125-4,0))</f>
        <v>0</v>
      </c>
      <c r="I125" s="294" t="str">
        <f ca="1">IF(ISERROR($S125),"",OFFSET('Smelter Reference List'!$H$4,$S125-4,0))</f>
        <v>Oruro</v>
      </c>
      <c r="J125" s="294" t="str">
        <f ca="1">IF(ISERROR($S125),"",OFFSET('Smelter Reference List'!$I$4,$S125-4,0))</f>
        <v>Cercado</v>
      </c>
      <c r="K125" s="295"/>
      <c r="L125" s="295"/>
      <c r="M125" s="295"/>
      <c r="N125" s="295"/>
      <c r="O125" s="295"/>
      <c r="P125" s="295"/>
      <c r="Q125" s="296"/>
      <c r="R125" s="227"/>
      <c r="S125" s="228">
        <f ca="1">IF(C125="",NA(),MATCH($B125&amp;$C125,'Smelter Reference List'!$J:$J,0))</f>
        <v>397</v>
      </c>
      <c r="T125" s="229"/>
      <c r="U125" s="229">
        <f t="shared" ca="1" si="4"/>
        <v>0</v>
      </c>
      <c r="V125" s="229"/>
      <c r="W125" s="229"/>
      <c r="Y125" s="223" t="str">
        <f t="shared" ca="1" si="5"/>
        <v>TinOperaciones Metalurgical S.A.</v>
      </c>
    </row>
    <row r="126" spans="1:25" s="223" customFormat="1" ht="20.25">
      <c r="A126" s="291" t="s">
        <v>1282</v>
      </c>
      <c r="B126" s="292" t="str">
        <f ca="1">IF(LEN(A126)=0,"",INDEX('Smelter Reference List'!$A:$A,MATCH($A126,'Smelter Reference List'!$E:$E,0)))</f>
        <v>Gold</v>
      </c>
      <c r="C126" s="298" t="str">
        <f ca="1">IF(LEN(A126)=0,"",INDEX('Smelter Reference List'!$C:$C,MATCH($A126,'Smelter Reference List'!$E:$E,0)))</f>
        <v>PAMP S.A.</v>
      </c>
      <c r="D126" s="292" t="str">
        <f ca="1">IF(ISERROR($S126),"",OFFSET('Smelter Reference List'!$C$4,$S126-4,0)&amp;"")</f>
        <v>PAMP S.A.</v>
      </c>
      <c r="E126" s="292" t="str">
        <f ca="1">IF(ISERROR($S126),"",OFFSET('Smelter Reference List'!$D$4,$S126-4,0)&amp;"")</f>
        <v>SWITZERLAND</v>
      </c>
      <c r="F126" s="292" t="str">
        <f ca="1">IF(ISERROR($S126),"",OFFSET('Smelter Reference List'!$E$4,$S126-4,0))</f>
        <v>CID001352</v>
      </c>
      <c r="G126" s="292" t="str">
        <f ca="1">IF(C126=$U$4,"Enter smelter details", IF(ISERROR($S126),"",OFFSET('Smelter Reference List'!$F$4,$S126-4,0)))</f>
        <v>CFSI</v>
      </c>
      <c r="H126" s="293">
        <f ca="1">IF(ISERROR($S126),"",OFFSET('Smelter Reference List'!$G$4,$S126-4,0))</f>
        <v>0</v>
      </c>
      <c r="I126" s="294" t="str">
        <f ca="1">IF(ISERROR($S126),"",OFFSET('Smelter Reference List'!$H$4,$S126-4,0))</f>
        <v>Castel San Pietro</v>
      </c>
      <c r="J126" s="294" t="str">
        <f ca="1">IF(ISERROR($S126),"",OFFSET('Smelter Reference List'!$I$4,$S126-4,0))</f>
        <v>Ticino</v>
      </c>
      <c r="K126" s="295"/>
      <c r="L126" s="295"/>
      <c r="M126" s="295"/>
      <c r="N126" s="295"/>
      <c r="O126" s="295"/>
      <c r="P126" s="295"/>
      <c r="Q126" s="296"/>
      <c r="R126" s="227"/>
      <c r="S126" s="228">
        <f ca="1">IF(C126="",NA(),MATCH($B126&amp;$C126,'Smelter Reference List'!$J:$J,0))</f>
        <v>148</v>
      </c>
      <c r="T126" s="229"/>
      <c r="U126" s="229">
        <f t="shared" ca="1" si="4"/>
        <v>0</v>
      </c>
      <c r="V126" s="229"/>
      <c r="W126" s="229"/>
      <c r="Y126" s="223" t="str">
        <f t="shared" ca="1" si="5"/>
        <v>GoldPAMP S.A.</v>
      </c>
    </row>
    <row r="127" spans="1:25" s="223" customFormat="1" ht="20.25">
      <c r="A127" s="291" t="s">
        <v>1283</v>
      </c>
      <c r="B127" s="292" t="str">
        <f ca="1">IF(LEN(A127)=0,"",INDEX('Smelter Reference List'!$A:$A,MATCH($A127,'Smelter Reference List'!$E:$E,0)))</f>
        <v>Gold</v>
      </c>
      <c r="C127" s="298" t="str">
        <f ca="1">IF(LEN(A127)=0,"",INDEX('Smelter Reference List'!$C:$C,MATCH($A127,'Smelter Reference List'!$E:$E,0)))</f>
        <v>Penglai Penggang Gold Industry Co., Ltd.</v>
      </c>
      <c r="D127" s="292" t="str">
        <f ca="1">IF(ISERROR($S127),"",OFFSET('Smelter Reference List'!$C$4,$S127-4,0)&amp;"")</f>
        <v>Penglai Penggang Gold Industry Co., Ltd.</v>
      </c>
      <c r="E127" s="292" t="str">
        <f ca="1">IF(ISERROR($S127),"",OFFSET('Smelter Reference List'!$D$4,$S127-4,0)&amp;"")</f>
        <v>CHINA</v>
      </c>
      <c r="F127" s="292" t="str">
        <f ca="1">IF(ISERROR($S127),"",OFFSET('Smelter Reference List'!$E$4,$S127-4,0))</f>
        <v>CID001362</v>
      </c>
      <c r="G127" s="292" t="str">
        <f ca="1">IF(C127=$U$4,"Enter smelter details", IF(ISERROR($S127),"",OFFSET('Smelter Reference List'!$F$4,$S127-4,0)))</f>
        <v>CFSI</v>
      </c>
      <c r="H127" s="293">
        <f ca="1">IF(ISERROR($S127),"",OFFSET('Smelter Reference List'!$G$4,$S127-4,0))</f>
        <v>0</v>
      </c>
      <c r="I127" s="294" t="str">
        <f ca="1">IF(ISERROR($S127),"",OFFSET('Smelter Reference List'!$H$4,$S127-4,0))</f>
        <v>Penglai</v>
      </c>
      <c r="J127" s="294" t="str">
        <f ca="1">IF(ISERROR($S127),"",OFFSET('Smelter Reference List'!$I$4,$S127-4,0))</f>
        <v>Shandong</v>
      </c>
      <c r="K127" s="295"/>
      <c r="L127" s="295"/>
      <c r="M127" s="295"/>
      <c r="N127" s="295"/>
      <c r="O127" s="295"/>
      <c r="P127" s="295"/>
      <c r="Q127" s="296"/>
      <c r="R127" s="227"/>
      <c r="S127" s="228">
        <f ca="1">IF(C127="",NA(),MATCH($B127&amp;$C127,'Smelter Reference List'!$J:$J,0))</f>
        <v>151</v>
      </c>
      <c r="T127" s="229"/>
      <c r="U127" s="229">
        <f t="shared" ca="1" si="4"/>
        <v>0</v>
      </c>
      <c r="V127" s="229"/>
      <c r="W127" s="229"/>
      <c r="Y127" s="223" t="str">
        <f t="shared" ca="1" si="5"/>
        <v>GoldPenglai Penggang Gold Industry Co., Ltd.</v>
      </c>
    </row>
    <row r="128" spans="1:25" s="223" customFormat="1" ht="20.25">
      <c r="A128" s="291" t="s">
        <v>1284</v>
      </c>
      <c r="B128" s="292" t="str">
        <f ca="1">IF(LEN(A128)=0,"",INDEX('Smelter Reference List'!$A:$A,MATCH($A128,'Smelter Reference List'!$E:$E,0)))</f>
        <v>Gold</v>
      </c>
      <c r="C128" s="298" t="str">
        <f ca="1">IF(LEN(A128)=0,"",INDEX('Smelter Reference List'!$C:$C,MATCH($A128,'Smelter Reference List'!$E:$E,0)))</f>
        <v>Prioksky Plant of Non-Ferrous Metals</v>
      </c>
      <c r="D128" s="292" t="str">
        <f ca="1">IF(ISERROR($S128),"",OFFSET('Smelter Reference List'!$C$4,$S128-4,0)&amp;"")</f>
        <v>Prioksky Plant of Non-Ferrous Metals</v>
      </c>
      <c r="E128" s="292" t="str">
        <f ca="1">IF(ISERROR($S128),"",OFFSET('Smelter Reference List'!$D$4,$S128-4,0)&amp;"")</f>
        <v>RUSSIAN FEDERATION</v>
      </c>
      <c r="F128" s="292" t="str">
        <f ca="1">IF(ISERROR($S128),"",OFFSET('Smelter Reference List'!$E$4,$S128-4,0))</f>
        <v>CID001386</v>
      </c>
      <c r="G128" s="292" t="str">
        <f ca="1">IF(C128=$U$4,"Enter smelter details", IF(ISERROR($S128),"",OFFSET('Smelter Reference List'!$F$4,$S128-4,0)))</f>
        <v>CFSI</v>
      </c>
      <c r="H128" s="293">
        <f ca="1">IF(ISERROR($S128),"",OFFSET('Smelter Reference List'!$G$4,$S128-4,0))</f>
        <v>0</v>
      </c>
      <c r="I128" s="294" t="str">
        <f ca="1">IF(ISERROR($S128),"",OFFSET('Smelter Reference List'!$H$4,$S128-4,0))</f>
        <v>Kasimov</v>
      </c>
      <c r="J128" s="294" t="str">
        <f ca="1">IF(ISERROR($S128),"",OFFSET('Smelter Reference List'!$I$4,$S128-4,0))</f>
        <v>Ryazan</v>
      </c>
      <c r="K128" s="295"/>
      <c r="L128" s="295"/>
      <c r="M128" s="295"/>
      <c r="N128" s="295"/>
      <c r="O128" s="295"/>
      <c r="P128" s="295"/>
      <c r="Q128" s="296"/>
      <c r="R128" s="227"/>
      <c r="S128" s="228">
        <f ca="1">IF(C128="",NA(),MATCH($B128&amp;$C128,'Smelter Reference List'!$J:$J,0))</f>
        <v>154</v>
      </c>
      <c r="T128" s="229"/>
      <c r="U128" s="229">
        <f t="shared" ca="1" si="4"/>
        <v>0</v>
      </c>
      <c r="V128" s="229"/>
      <c r="W128" s="229"/>
      <c r="Y128" s="223" t="str">
        <f t="shared" ca="1" si="5"/>
        <v>GoldPrioksky Plant of Non-Ferrous Metals</v>
      </c>
    </row>
    <row r="129" spans="1:25" s="223" customFormat="1" ht="20.25">
      <c r="A129" s="291" t="s">
        <v>1285</v>
      </c>
      <c r="B129" s="292" t="str">
        <f ca="1">IF(LEN(A129)=0,"",INDEX('Smelter Reference List'!$A:$A,MATCH($A129,'Smelter Reference List'!$E:$E,0)))</f>
        <v>Gold</v>
      </c>
      <c r="C129" s="298" t="str">
        <f ca="1">IF(LEN(A129)=0,"",INDEX('Smelter Reference List'!$C:$C,MATCH($A129,'Smelter Reference List'!$E:$E,0)))</f>
        <v>PT Aneka Tambang (Persero) Tbk</v>
      </c>
      <c r="D129" s="292" t="str">
        <f ca="1">IF(ISERROR($S129),"",OFFSET('Smelter Reference List'!$C$4,$S129-4,0)&amp;"")</f>
        <v>PT Aneka Tambang (Persero) Tbk</v>
      </c>
      <c r="E129" s="292" t="str">
        <f ca="1">IF(ISERROR($S129),"",OFFSET('Smelter Reference List'!$D$4,$S129-4,0)&amp;"")</f>
        <v>INDONESIA</v>
      </c>
      <c r="F129" s="292" t="str">
        <f ca="1">IF(ISERROR($S129),"",OFFSET('Smelter Reference List'!$E$4,$S129-4,0))</f>
        <v>CID001397</v>
      </c>
      <c r="G129" s="292" t="str">
        <f ca="1">IF(C129=$U$4,"Enter smelter details", IF(ISERROR($S129),"",OFFSET('Smelter Reference List'!$F$4,$S129-4,0)))</f>
        <v>CFSI</v>
      </c>
      <c r="H129" s="293">
        <f ca="1">IF(ISERROR($S129),"",OFFSET('Smelter Reference List'!$G$4,$S129-4,0))</f>
        <v>0</v>
      </c>
      <c r="I129" s="294" t="str">
        <f ca="1">IF(ISERROR($S129),"",OFFSET('Smelter Reference List'!$H$4,$S129-4,0))</f>
        <v>Jakarta</v>
      </c>
      <c r="J129" s="294" t="str">
        <f ca="1">IF(ISERROR($S129),"",OFFSET('Smelter Reference List'!$I$4,$S129-4,0))</f>
        <v>Java</v>
      </c>
      <c r="K129" s="295"/>
      <c r="L129" s="295"/>
      <c r="M129" s="295"/>
      <c r="N129" s="295"/>
      <c r="O129" s="295"/>
      <c r="P129" s="295"/>
      <c r="Q129" s="296"/>
      <c r="R129" s="227"/>
      <c r="S129" s="228">
        <f ca="1">IF(C129="",NA(),MATCH($B129&amp;$C129,'Smelter Reference List'!$J:$J,0))</f>
        <v>156</v>
      </c>
      <c r="T129" s="229"/>
      <c r="U129" s="229">
        <f t="shared" ca="1" si="4"/>
        <v>0</v>
      </c>
      <c r="V129" s="229"/>
      <c r="W129" s="229"/>
      <c r="Y129" s="223" t="str">
        <f t="shared" ca="1" si="5"/>
        <v>GoldPT Aneka Tambang (Persero) Tbk</v>
      </c>
    </row>
    <row r="130" spans="1:25" s="223" customFormat="1" ht="20.25">
      <c r="A130" s="291" t="s">
        <v>1361</v>
      </c>
      <c r="B130" s="292" t="str">
        <f ca="1">IF(LEN(A130)=0,"",INDEX('Smelter Reference List'!$A:$A,MATCH($A130,'Smelter Reference List'!$E:$E,0)))</f>
        <v>Tin</v>
      </c>
      <c r="C130" s="298" t="str">
        <f ca="1">IF(LEN(A130)=0,"",INDEX('Smelter Reference List'!$C:$C,MATCH($A130,'Smelter Reference List'!$E:$E,0)))</f>
        <v>PT Artha Cipta Langgeng</v>
      </c>
      <c r="D130" s="292" t="str">
        <f ca="1">IF(ISERROR($S130),"",OFFSET('Smelter Reference List'!$C$4,$S130-4,0)&amp;"")</f>
        <v>PT Artha Cipta Langgeng</v>
      </c>
      <c r="E130" s="292" t="str">
        <f ca="1">IF(ISERROR($S130),"",OFFSET('Smelter Reference List'!$D$4,$S130-4,0)&amp;"")</f>
        <v>INDONESIA</v>
      </c>
      <c r="F130" s="292" t="str">
        <f ca="1">IF(ISERROR($S130),"",OFFSET('Smelter Reference List'!$E$4,$S130-4,0))</f>
        <v>CID001399</v>
      </c>
      <c r="G130" s="292" t="str">
        <f ca="1">IF(C130=$U$4,"Enter smelter details", IF(ISERROR($S130),"",OFFSET('Smelter Reference List'!$F$4,$S130-4,0)))</f>
        <v>CFSI</v>
      </c>
      <c r="H130" s="293">
        <f ca="1">IF(ISERROR($S130),"",OFFSET('Smelter Reference List'!$G$4,$S130-4,0))</f>
        <v>0</v>
      </c>
      <c r="I130" s="294" t="str">
        <f ca="1">IF(ISERROR($S130),"",OFFSET('Smelter Reference List'!$H$4,$S130-4,0))</f>
        <v>Sungailiat</v>
      </c>
      <c r="J130" s="294" t="str">
        <f ca="1">IF(ISERROR($S130),"",OFFSET('Smelter Reference List'!$I$4,$S130-4,0))</f>
        <v>Bangka</v>
      </c>
      <c r="K130" s="295"/>
      <c r="L130" s="295"/>
      <c r="M130" s="295"/>
      <c r="N130" s="295"/>
      <c r="O130" s="295"/>
      <c r="P130" s="295"/>
      <c r="Q130" s="296"/>
      <c r="R130" s="227"/>
      <c r="S130" s="228">
        <f ca="1">IF(C130="",NA(),MATCH($B130&amp;$C130,'Smelter Reference List'!$J:$J,0))</f>
        <v>401</v>
      </c>
      <c r="T130" s="229"/>
      <c r="U130" s="229">
        <f t="shared" ca="1" si="4"/>
        <v>0</v>
      </c>
      <c r="V130" s="229"/>
      <c r="W130" s="229"/>
      <c r="Y130" s="223" t="str">
        <f t="shared" ca="1" si="5"/>
        <v>TinPT Artha Cipta Langgeng</v>
      </c>
    </row>
    <row r="131" spans="1:25" s="223" customFormat="1" ht="20.25">
      <c r="A131" s="291" t="s">
        <v>1362</v>
      </c>
      <c r="B131" s="292" t="str">
        <f ca="1">IF(LEN(A131)=0,"",INDEX('Smelter Reference List'!$A:$A,MATCH($A131,'Smelter Reference List'!$E:$E,0)))</f>
        <v>Tin</v>
      </c>
      <c r="C131" s="298" t="str">
        <f ca="1">IF(LEN(A131)=0,"",INDEX('Smelter Reference List'!$C:$C,MATCH($A131,'Smelter Reference List'!$E:$E,0)))</f>
        <v>PT Babel Inti Perkasa</v>
      </c>
      <c r="D131" s="292" t="str">
        <f ca="1">IF(ISERROR($S131),"",OFFSET('Smelter Reference List'!$C$4,$S131-4,0)&amp;"")</f>
        <v>PT Babel Inti Perkasa</v>
      </c>
      <c r="E131" s="292" t="str">
        <f ca="1">IF(ISERROR($S131),"",OFFSET('Smelter Reference List'!$D$4,$S131-4,0)&amp;"")</f>
        <v>INDONESIA</v>
      </c>
      <c r="F131" s="292" t="str">
        <f ca="1">IF(ISERROR($S131),"",OFFSET('Smelter Reference List'!$E$4,$S131-4,0))</f>
        <v>CID001402</v>
      </c>
      <c r="G131" s="292" t="str">
        <f ca="1">IF(C131=$U$4,"Enter smelter details", IF(ISERROR($S131),"",OFFSET('Smelter Reference List'!$F$4,$S131-4,0)))</f>
        <v>CFSI</v>
      </c>
      <c r="H131" s="293">
        <f ca="1">IF(ISERROR($S131),"",OFFSET('Smelter Reference List'!$G$4,$S131-4,0))</f>
        <v>0</v>
      </c>
      <c r="I131" s="294" t="str">
        <f ca="1">IF(ISERROR($S131),"",OFFSET('Smelter Reference List'!$H$4,$S131-4,0))</f>
        <v>Lintang</v>
      </c>
      <c r="J131" s="294" t="str">
        <f ca="1">IF(ISERROR($S131),"",OFFSET('Smelter Reference List'!$I$4,$S131-4,0))</f>
        <v>Bangka</v>
      </c>
      <c r="K131" s="295"/>
      <c r="L131" s="295"/>
      <c r="M131" s="295"/>
      <c r="N131" s="295"/>
      <c r="O131" s="295"/>
      <c r="P131" s="295"/>
      <c r="Q131" s="296"/>
      <c r="R131" s="227"/>
      <c r="S131" s="228">
        <f ca="1">IF(C131="",NA(),MATCH($B131&amp;$C131,'Smelter Reference List'!$J:$J,0))</f>
        <v>403</v>
      </c>
      <c r="T131" s="229"/>
      <c r="U131" s="229">
        <f t="shared" ca="1" si="4"/>
        <v>0</v>
      </c>
      <c r="V131" s="229"/>
      <c r="W131" s="229"/>
      <c r="Y131" s="223" t="str">
        <f t="shared" ca="1" si="5"/>
        <v>TinPT Babel Inti Perkasa</v>
      </c>
    </row>
    <row r="132" spans="1:25" s="223" customFormat="1" ht="20.25">
      <c r="A132" s="291" t="s">
        <v>1363</v>
      </c>
      <c r="B132" s="292" t="str">
        <f ca="1">IF(LEN(A132)=0,"",INDEX('Smelter Reference List'!$A:$A,MATCH($A132,'Smelter Reference List'!$E:$E,0)))</f>
        <v>Tin</v>
      </c>
      <c r="C132" s="298" t="str">
        <f ca="1">IF(LEN(A132)=0,"",INDEX('Smelter Reference List'!$C:$C,MATCH($A132,'Smelter Reference List'!$E:$E,0)))</f>
        <v>PT Bangka Tin Industry</v>
      </c>
      <c r="D132" s="292" t="str">
        <f ca="1">IF(ISERROR($S132),"",OFFSET('Smelter Reference List'!$C$4,$S132-4,0)&amp;"")</f>
        <v>PT Bangka Tin Industry</v>
      </c>
      <c r="E132" s="292" t="str">
        <f ca="1">IF(ISERROR($S132),"",OFFSET('Smelter Reference List'!$D$4,$S132-4,0)&amp;"")</f>
        <v>INDONESIA</v>
      </c>
      <c r="F132" s="292" t="str">
        <f ca="1">IF(ISERROR($S132),"",OFFSET('Smelter Reference List'!$E$4,$S132-4,0))</f>
        <v>CID001419</v>
      </c>
      <c r="G132" s="292" t="str">
        <f ca="1">IF(C132=$U$4,"Enter smelter details", IF(ISERROR($S132),"",OFFSET('Smelter Reference List'!$F$4,$S132-4,0)))</f>
        <v>CFSI</v>
      </c>
      <c r="H132" s="293">
        <f ca="1">IF(ISERROR($S132),"",OFFSET('Smelter Reference List'!$G$4,$S132-4,0))</f>
        <v>0</v>
      </c>
      <c r="I132" s="294" t="str">
        <f ca="1">IF(ISERROR($S132),"",OFFSET('Smelter Reference List'!$H$4,$S132-4,0))</f>
        <v>Sungailiat</v>
      </c>
      <c r="J132" s="294" t="str">
        <f ca="1">IF(ISERROR($S132),"",OFFSET('Smelter Reference List'!$I$4,$S132-4,0))</f>
        <v>Bangka</v>
      </c>
      <c r="K132" s="295"/>
      <c r="L132" s="295"/>
      <c r="M132" s="295"/>
      <c r="N132" s="295"/>
      <c r="O132" s="295"/>
      <c r="P132" s="295"/>
      <c r="Q132" s="296"/>
      <c r="R132" s="227"/>
      <c r="S132" s="228">
        <f ca="1">IF(C132="",NA(),MATCH($B132&amp;$C132,'Smelter Reference List'!$J:$J,0))</f>
        <v>405</v>
      </c>
      <c r="T132" s="229"/>
      <c r="U132" s="229">
        <f t="shared" ca="1" si="4"/>
        <v>0</v>
      </c>
      <c r="V132" s="229"/>
      <c r="W132" s="229"/>
      <c r="Y132" s="223" t="str">
        <f t="shared" ca="1" si="5"/>
        <v>TinPT Bangka Tin Industry</v>
      </c>
    </row>
    <row r="133" spans="1:25" s="223" customFormat="1" ht="20.25">
      <c r="A133" s="291" t="s">
        <v>1364</v>
      </c>
      <c r="B133" s="292" t="str">
        <f ca="1">IF(LEN(A133)=0,"",INDEX('Smelter Reference List'!$A:$A,MATCH($A133,'Smelter Reference List'!$E:$E,0)))</f>
        <v>Tin</v>
      </c>
      <c r="C133" s="298" t="str">
        <f ca="1">IF(LEN(A133)=0,"",INDEX('Smelter Reference List'!$C:$C,MATCH($A133,'Smelter Reference List'!$E:$E,0)))</f>
        <v>PT Belitung Industri Sejahtera</v>
      </c>
      <c r="D133" s="292" t="str">
        <f ca="1">IF(ISERROR($S133),"",OFFSET('Smelter Reference List'!$C$4,$S133-4,0)&amp;"")</f>
        <v>PT Belitung Industri Sejahtera</v>
      </c>
      <c r="E133" s="292" t="str">
        <f ca="1">IF(ISERROR($S133),"",OFFSET('Smelter Reference List'!$D$4,$S133-4,0)&amp;"")</f>
        <v>INDONESIA</v>
      </c>
      <c r="F133" s="292" t="str">
        <f ca="1">IF(ISERROR($S133),"",OFFSET('Smelter Reference List'!$E$4,$S133-4,0))</f>
        <v>CID001421</v>
      </c>
      <c r="G133" s="292" t="str">
        <f ca="1">IF(C133=$U$4,"Enter smelter details", IF(ISERROR($S133),"",OFFSET('Smelter Reference List'!$F$4,$S133-4,0)))</f>
        <v>CFSI</v>
      </c>
      <c r="H133" s="293">
        <f ca="1">IF(ISERROR($S133),"",OFFSET('Smelter Reference List'!$G$4,$S133-4,0))</f>
        <v>0</v>
      </c>
      <c r="I133" s="294" t="str">
        <f ca="1">IF(ISERROR($S133),"",OFFSET('Smelter Reference List'!$H$4,$S133-4,0))</f>
        <v>Pangkal Pinang</v>
      </c>
      <c r="J133" s="294" t="str">
        <f ca="1">IF(ISERROR($S133),"",OFFSET('Smelter Reference List'!$I$4,$S133-4,0))</f>
        <v>Bangka</v>
      </c>
      <c r="K133" s="295"/>
      <c r="L133" s="295"/>
      <c r="M133" s="295"/>
      <c r="N133" s="295"/>
      <c r="O133" s="295"/>
      <c r="P133" s="295"/>
      <c r="Q133" s="296"/>
      <c r="R133" s="227"/>
      <c r="S133" s="228">
        <f ca="1">IF(C133="",NA(),MATCH($B133&amp;$C133,'Smelter Reference List'!$J:$J,0))</f>
        <v>406</v>
      </c>
      <c r="T133" s="229"/>
      <c r="U133" s="229">
        <f t="shared" ref="U133:U196" ca="1" si="6">IF(AND(C133="Smelter not listed",OR(LEN(D133)=0,LEN(E133)=0)),1,0)</f>
        <v>0</v>
      </c>
      <c r="V133" s="229"/>
      <c r="W133" s="229"/>
      <c r="Y133" s="223" t="str">
        <f t="shared" ref="Y133:Y196" ca="1" si="7">B133&amp;C133</f>
        <v>TinPT Belitung Industri Sejahtera</v>
      </c>
    </row>
    <row r="134" spans="1:25" s="223" customFormat="1" ht="20.25">
      <c r="A134" s="291" t="s">
        <v>1365</v>
      </c>
      <c r="B134" s="292" t="str">
        <f ca="1">IF(LEN(A134)=0,"",INDEX('Smelter Reference List'!$A:$A,MATCH($A134,'Smelter Reference List'!$E:$E,0)))</f>
        <v>Tin</v>
      </c>
      <c r="C134" s="298" t="str">
        <f ca="1">IF(LEN(A134)=0,"",INDEX('Smelter Reference List'!$C:$C,MATCH($A134,'Smelter Reference List'!$E:$E,0)))</f>
        <v>PT Bukit Timah</v>
      </c>
      <c r="D134" s="292" t="str">
        <f ca="1">IF(ISERROR($S134),"",OFFSET('Smelter Reference List'!$C$4,$S134-4,0)&amp;"")</f>
        <v>PT Bukit Timah</v>
      </c>
      <c r="E134" s="292" t="str">
        <f ca="1">IF(ISERROR($S134),"",OFFSET('Smelter Reference List'!$D$4,$S134-4,0)&amp;"")</f>
        <v>INDONESIA</v>
      </c>
      <c r="F134" s="292" t="str">
        <f ca="1">IF(ISERROR($S134),"",OFFSET('Smelter Reference List'!$E$4,$S134-4,0))</f>
        <v>CID001428</v>
      </c>
      <c r="G134" s="292" t="str">
        <f ca="1">IF(C134=$U$4,"Enter smelter details", IF(ISERROR($S134),"",OFFSET('Smelter Reference List'!$F$4,$S134-4,0)))</f>
        <v>CFSI</v>
      </c>
      <c r="H134" s="293">
        <f ca="1">IF(ISERROR($S134),"",OFFSET('Smelter Reference List'!$G$4,$S134-4,0))</f>
        <v>0</v>
      </c>
      <c r="I134" s="294" t="str">
        <f ca="1">IF(ISERROR($S134),"",OFFSET('Smelter Reference List'!$H$4,$S134-4,0))</f>
        <v>Pangkal Pinang</v>
      </c>
      <c r="J134" s="294" t="str">
        <f ca="1">IF(ISERROR($S134),"",OFFSET('Smelter Reference List'!$I$4,$S134-4,0))</f>
        <v>Bangka</v>
      </c>
      <c r="K134" s="295"/>
      <c r="L134" s="295"/>
      <c r="M134" s="295"/>
      <c r="N134" s="295"/>
      <c r="O134" s="295"/>
      <c r="P134" s="295"/>
      <c r="Q134" s="296"/>
      <c r="R134" s="227"/>
      <c r="S134" s="228">
        <f ca="1">IF(C134="",NA(),MATCH($B134&amp;$C134,'Smelter Reference List'!$J:$J,0))</f>
        <v>407</v>
      </c>
      <c r="T134" s="229"/>
      <c r="U134" s="229">
        <f t="shared" ca="1" si="6"/>
        <v>0</v>
      </c>
      <c r="V134" s="229"/>
      <c r="W134" s="229"/>
      <c r="Y134" s="223" t="str">
        <f t="shared" ca="1" si="7"/>
        <v>TinPT Bukit Timah</v>
      </c>
    </row>
    <row r="135" spans="1:25" s="223" customFormat="1" ht="20.25">
      <c r="A135" s="291" t="s">
        <v>1366</v>
      </c>
      <c r="B135" s="292" t="str">
        <f ca="1">IF(LEN(A135)=0,"",INDEX('Smelter Reference List'!$A:$A,MATCH($A135,'Smelter Reference List'!$E:$E,0)))</f>
        <v>Tin</v>
      </c>
      <c r="C135" s="298" t="str">
        <f ca="1">IF(LEN(A135)=0,"",INDEX('Smelter Reference List'!$C:$C,MATCH($A135,'Smelter Reference List'!$E:$E,0)))</f>
        <v>PT DS Jaya Abadi</v>
      </c>
      <c r="D135" s="292" t="str">
        <f ca="1">IF(ISERROR($S135),"",OFFSET('Smelter Reference List'!$C$4,$S135-4,0)&amp;"")</f>
        <v>PT DS Jaya Abadi</v>
      </c>
      <c r="E135" s="292" t="str">
        <f ca="1">IF(ISERROR($S135),"",OFFSET('Smelter Reference List'!$D$4,$S135-4,0)&amp;"")</f>
        <v>INDONESIA</v>
      </c>
      <c r="F135" s="292" t="str">
        <f ca="1">IF(ISERROR($S135),"",OFFSET('Smelter Reference List'!$E$4,$S135-4,0))</f>
        <v>CID001434</v>
      </c>
      <c r="G135" s="292" t="str">
        <f ca="1">IF(C135=$U$4,"Enter smelter details", IF(ISERROR($S135),"",OFFSET('Smelter Reference List'!$F$4,$S135-4,0)))</f>
        <v>CFSI</v>
      </c>
      <c r="H135" s="293">
        <f ca="1">IF(ISERROR($S135),"",OFFSET('Smelter Reference List'!$G$4,$S135-4,0))</f>
        <v>0</v>
      </c>
      <c r="I135" s="294" t="str">
        <f ca="1">IF(ISERROR($S135),"",OFFSET('Smelter Reference List'!$H$4,$S135-4,0))</f>
        <v>Pangkal Pinang</v>
      </c>
      <c r="J135" s="294" t="str">
        <f ca="1">IF(ISERROR($S135),"",OFFSET('Smelter Reference List'!$I$4,$S135-4,0))</f>
        <v>Bangka</v>
      </c>
      <c r="K135" s="295"/>
      <c r="L135" s="295"/>
      <c r="M135" s="295"/>
      <c r="N135" s="295"/>
      <c r="O135" s="295"/>
      <c r="P135" s="295"/>
      <c r="Q135" s="296"/>
      <c r="R135" s="227"/>
      <c r="S135" s="228">
        <f ca="1">IF(C135="",NA(),MATCH($B135&amp;$C135,'Smelter Reference List'!$J:$J,0))</f>
        <v>409</v>
      </c>
      <c r="T135" s="229"/>
      <c r="U135" s="229">
        <f t="shared" ca="1" si="6"/>
        <v>0</v>
      </c>
      <c r="V135" s="229"/>
      <c r="W135" s="229"/>
      <c r="Y135" s="223" t="str">
        <f t="shared" ca="1" si="7"/>
        <v>TinPT DS Jaya Abadi</v>
      </c>
    </row>
    <row r="136" spans="1:25" s="223" customFormat="1" ht="20.25">
      <c r="A136" s="291" t="s">
        <v>1367</v>
      </c>
      <c r="B136" s="292" t="str">
        <f ca="1">IF(LEN(A136)=0,"",INDEX('Smelter Reference List'!$A:$A,MATCH($A136,'Smelter Reference List'!$E:$E,0)))</f>
        <v>Tin</v>
      </c>
      <c r="C136" s="298" t="str">
        <f ca="1">IF(LEN(A136)=0,"",INDEX('Smelter Reference List'!$C:$C,MATCH($A136,'Smelter Reference List'!$E:$E,0)))</f>
        <v>PT Eunindo Usaha Mandiri</v>
      </c>
      <c r="D136" s="292" t="str">
        <f ca="1">IF(ISERROR($S136),"",OFFSET('Smelter Reference List'!$C$4,$S136-4,0)&amp;"")</f>
        <v>PT Eunindo Usaha Mandiri</v>
      </c>
      <c r="E136" s="292" t="str">
        <f ca="1">IF(ISERROR($S136),"",OFFSET('Smelter Reference List'!$D$4,$S136-4,0)&amp;"")</f>
        <v>INDONESIA</v>
      </c>
      <c r="F136" s="292" t="str">
        <f ca="1">IF(ISERROR($S136),"",OFFSET('Smelter Reference List'!$E$4,$S136-4,0))</f>
        <v>CID001438</v>
      </c>
      <c r="G136" s="292" t="str">
        <f ca="1">IF(C136=$U$4,"Enter smelter details", IF(ISERROR($S136),"",OFFSET('Smelter Reference List'!$F$4,$S136-4,0)))</f>
        <v>CFSI</v>
      </c>
      <c r="H136" s="293">
        <f ca="1">IF(ISERROR($S136),"",OFFSET('Smelter Reference List'!$G$4,$S136-4,0))</f>
        <v>0</v>
      </c>
      <c r="I136" s="294" t="str">
        <f ca="1">IF(ISERROR($S136),"",OFFSET('Smelter Reference List'!$H$4,$S136-4,0))</f>
        <v>Karimun</v>
      </c>
      <c r="J136" s="294" t="str">
        <f ca="1">IF(ISERROR($S136),"",OFFSET('Smelter Reference List'!$I$4,$S136-4,0))</f>
        <v>Kepulauan Riau</v>
      </c>
      <c r="K136" s="295"/>
      <c r="L136" s="295"/>
      <c r="M136" s="295"/>
      <c r="N136" s="295"/>
      <c r="O136" s="295"/>
      <c r="P136" s="295"/>
      <c r="Q136" s="296"/>
      <c r="R136" s="227"/>
      <c r="S136" s="228">
        <f ca="1">IF(C136="",NA(),MATCH($B136&amp;$C136,'Smelter Reference List'!$J:$J,0))</f>
        <v>410</v>
      </c>
      <c r="T136" s="229"/>
      <c r="U136" s="229">
        <f t="shared" ca="1" si="6"/>
        <v>0</v>
      </c>
      <c r="V136" s="229"/>
      <c r="W136" s="229"/>
      <c r="Y136" s="223" t="str">
        <f t="shared" ca="1" si="7"/>
        <v>TinPT Eunindo Usaha Mandiri</v>
      </c>
    </row>
    <row r="137" spans="1:25" s="223" customFormat="1" ht="20.25">
      <c r="A137" s="291" t="s">
        <v>1368</v>
      </c>
      <c r="B137" s="292" t="str">
        <f ca="1">IF(LEN(A137)=0,"",INDEX('Smelter Reference List'!$A:$A,MATCH($A137,'Smelter Reference List'!$E:$E,0)))</f>
        <v>Tin</v>
      </c>
      <c r="C137" s="298" t="str">
        <f ca="1">IF(LEN(A137)=0,"",INDEX('Smelter Reference List'!$C:$C,MATCH($A137,'Smelter Reference List'!$E:$E,0)))</f>
        <v>PT Karimun Mining</v>
      </c>
      <c r="D137" s="292" t="str">
        <f ca="1">IF(ISERROR($S137),"",OFFSET('Smelter Reference List'!$C$4,$S137-4,0)&amp;"")</f>
        <v>PT Karimun Mining</v>
      </c>
      <c r="E137" s="292" t="str">
        <f ca="1">IF(ISERROR($S137),"",OFFSET('Smelter Reference List'!$D$4,$S137-4,0)&amp;"")</f>
        <v>INDONESIA</v>
      </c>
      <c r="F137" s="292" t="str">
        <f ca="1">IF(ISERROR($S137),"",OFFSET('Smelter Reference List'!$E$4,$S137-4,0))</f>
        <v>CID001448</v>
      </c>
      <c r="G137" s="292" t="str">
        <f ca="1">IF(C137=$U$4,"Enter smelter details", IF(ISERROR($S137),"",OFFSET('Smelter Reference List'!$F$4,$S137-4,0)))</f>
        <v>CFSI</v>
      </c>
      <c r="H137" s="293">
        <f ca="1">IF(ISERROR($S137),"",OFFSET('Smelter Reference List'!$G$4,$S137-4,0))</f>
        <v>0</v>
      </c>
      <c r="I137" s="294" t="str">
        <f ca="1">IF(ISERROR($S137),"",OFFSET('Smelter Reference List'!$H$4,$S137-4,0))</f>
        <v>Karimun</v>
      </c>
      <c r="J137" s="294" t="str">
        <f ca="1">IF(ISERROR($S137),"",OFFSET('Smelter Reference List'!$I$4,$S137-4,0))</f>
        <v>Kepulauan Riau</v>
      </c>
      <c r="K137" s="295"/>
      <c r="L137" s="295"/>
      <c r="M137" s="295"/>
      <c r="N137" s="295"/>
      <c r="O137" s="295"/>
      <c r="P137" s="295"/>
      <c r="Q137" s="296"/>
      <c r="R137" s="227"/>
      <c r="S137" s="228">
        <f ca="1">IF(C137="",NA(),MATCH($B137&amp;$C137,'Smelter Reference List'!$J:$J,0))</f>
        <v>415</v>
      </c>
      <c r="T137" s="229"/>
      <c r="U137" s="229">
        <f t="shared" ca="1" si="6"/>
        <v>0</v>
      </c>
      <c r="V137" s="229"/>
      <c r="W137" s="229"/>
      <c r="Y137" s="223" t="str">
        <f t="shared" ca="1" si="7"/>
        <v>TinPT Karimun Mining</v>
      </c>
    </row>
    <row r="138" spans="1:25" s="223" customFormat="1" ht="20.25">
      <c r="A138" s="291" t="s">
        <v>1369</v>
      </c>
      <c r="B138" s="292" t="str">
        <f ca="1">IF(LEN(A138)=0,"",INDEX('Smelter Reference List'!$A:$A,MATCH($A138,'Smelter Reference List'!$E:$E,0)))</f>
        <v>Tin</v>
      </c>
      <c r="C138" s="298" t="str">
        <f ca="1">IF(LEN(A138)=0,"",INDEX('Smelter Reference List'!$C:$C,MATCH($A138,'Smelter Reference List'!$E:$E,0)))</f>
        <v>PT Mitra Stania Prima</v>
      </c>
      <c r="D138" s="292" t="str">
        <f ca="1">IF(ISERROR($S138),"",OFFSET('Smelter Reference List'!$C$4,$S138-4,0)&amp;"")</f>
        <v>PT Mitra Stania Prima</v>
      </c>
      <c r="E138" s="292" t="str">
        <f ca="1">IF(ISERROR($S138),"",OFFSET('Smelter Reference List'!$D$4,$S138-4,0)&amp;"")</f>
        <v>INDONESIA</v>
      </c>
      <c r="F138" s="292" t="str">
        <f ca="1">IF(ISERROR($S138),"",OFFSET('Smelter Reference List'!$E$4,$S138-4,0))</f>
        <v>CID001453</v>
      </c>
      <c r="G138" s="292" t="str">
        <f ca="1">IF(C138=$U$4,"Enter smelter details", IF(ISERROR($S138),"",OFFSET('Smelter Reference List'!$F$4,$S138-4,0)))</f>
        <v>CFSI</v>
      </c>
      <c r="H138" s="293">
        <f ca="1">IF(ISERROR($S138),"",OFFSET('Smelter Reference List'!$G$4,$S138-4,0))</f>
        <v>0</v>
      </c>
      <c r="I138" s="294" t="str">
        <f ca="1">IF(ISERROR($S138),"",OFFSET('Smelter Reference List'!$H$4,$S138-4,0))</f>
        <v>Sungailiat</v>
      </c>
      <c r="J138" s="294" t="str">
        <f ca="1">IF(ISERROR($S138),"",OFFSET('Smelter Reference List'!$I$4,$S138-4,0))</f>
        <v>Bangka</v>
      </c>
      <c r="K138" s="295"/>
      <c r="L138" s="295"/>
      <c r="M138" s="295"/>
      <c r="N138" s="295"/>
      <c r="O138" s="295"/>
      <c r="P138" s="295"/>
      <c r="Q138" s="296"/>
      <c r="R138" s="227"/>
      <c r="S138" s="228">
        <f ca="1">IF(C138="",NA(),MATCH($B138&amp;$C138,'Smelter Reference List'!$J:$J,0))</f>
        <v>419</v>
      </c>
      <c r="T138" s="229"/>
      <c r="U138" s="229">
        <f t="shared" ca="1" si="6"/>
        <v>0</v>
      </c>
      <c r="V138" s="229"/>
      <c r="W138" s="229"/>
      <c r="Y138" s="223" t="str">
        <f t="shared" ca="1" si="7"/>
        <v>TinPT Mitra Stania Prima</v>
      </c>
    </row>
    <row r="139" spans="1:25" s="223" customFormat="1" ht="20.25">
      <c r="A139" s="291" t="s">
        <v>2633</v>
      </c>
      <c r="B139" s="292" t="str">
        <f ca="1">IF(LEN(A139)=0,"",INDEX('Smelter Reference List'!$A:$A,MATCH($A139,'Smelter Reference List'!$E:$E,0)))</f>
        <v>Tin</v>
      </c>
      <c r="C139" s="298" t="str">
        <f ca="1">IF(LEN(A139)=0,"",INDEX('Smelter Reference List'!$C:$C,MATCH($A139,'Smelter Reference List'!$E:$E,0)))</f>
        <v>PT Panca Mega Persada</v>
      </c>
      <c r="D139" s="292" t="str">
        <f ca="1">IF(ISERROR($S139),"",OFFSET('Smelter Reference List'!$C$4,$S139-4,0)&amp;"")</f>
        <v>PT Panca Mega Persada</v>
      </c>
      <c r="E139" s="292" t="str">
        <f ca="1">IF(ISERROR($S139),"",OFFSET('Smelter Reference List'!$D$4,$S139-4,0)&amp;"")</f>
        <v>INDONESIA</v>
      </c>
      <c r="F139" s="292" t="str">
        <f ca="1">IF(ISERROR($S139),"",OFFSET('Smelter Reference List'!$E$4,$S139-4,0))</f>
        <v>CID001457</v>
      </c>
      <c r="G139" s="292" t="str">
        <f ca="1">IF(C139=$U$4,"Enter smelter details", IF(ISERROR($S139),"",OFFSET('Smelter Reference List'!$F$4,$S139-4,0)))</f>
        <v>CFSI</v>
      </c>
      <c r="H139" s="293">
        <f ca="1">IF(ISERROR($S139),"",OFFSET('Smelter Reference List'!$G$4,$S139-4,0))</f>
        <v>0</v>
      </c>
      <c r="I139" s="294" t="str">
        <f ca="1">IF(ISERROR($S139),"",OFFSET('Smelter Reference List'!$H$4,$S139-4,0))</f>
        <v>Sungailiat</v>
      </c>
      <c r="J139" s="294" t="str">
        <f ca="1">IF(ISERROR($S139),"",OFFSET('Smelter Reference List'!$I$4,$S139-4,0))</f>
        <v>Bangka</v>
      </c>
      <c r="K139" s="295"/>
      <c r="L139" s="295"/>
      <c r="M139" s="295"/>
      <c r="N139" s="295"/>
      <c r="O139" s="295"/>
      <c r="P139" s="295"/>
      <c r="Q139" s="296"/>
      <c r="R139" s="227"/>
      <c r="S139" s="228">
        <f ca="1">IF(C139="",NA(),MATCH($B139&amp;$C139,'Smelter Reference List'!$J:$J,0))</f>
        <v>421</v>
      </c>
      <c r="T139" s="229"/>
      <c r="U139" s="229">
        <f t="shared" ca="1" si="6"/>
        <v>0</v>
      </c>
      <c r="V139" s="229"/>
      <c r="W139" s="229"/>
      <c r="Y139" s="223" t="str">
        <f t="shared" ca="1" si="7"/>
        <v>TinPT Panca Mega Persada</v>
      </c>
    </row>
    <row r="140" spans="1:25" s="223" customFormat="1" ht="20.25">
      <c r="A140" s="291" t="s">
        <v>1371</v>
      </c>
      <c r="B140" s="292" t="str">
        <f ca="1">IF(LEN(A140)=0,"",INDEX('Smelter Reference List'!$A:$A,MATCH($A140,'Smelter Reference List'!$E:$E,0)))</f>
        <v>Tin</v>
      </c>
      <c r="C140" s="298" t="str">
        <f ca="1">IF(LEN(A140)=0,"",INDEX('Smelter Reference List'!$C:$C,MATCH($A140,'Smelter Reference List'!$E:$E,0)))</f>
        <v>PT Prima Timah Utama</v>
      </c>
      <c r="D140" s="292" t="str">
        <f ca="1">IF(ISERROR($S140),"",OFFSET('Smelter Reference List'!$C$4,$S140-4,0)&amp;"")</f>
        <v>PT Prima Timah Utama</v>
      </c>
      <c r="E140" s="292" t="str">
        <f ca="1">IF(ISERROR($S140),"",OFFSET('Smelter Reference List'!$D$4,$S140-4,0)&amp;"")</f>
        <v>INDONESIA</v>
      </c>
      <c r="F140" s="292" t="str">
        <f ca="1">IF(ISERROR($S140),"",OFFSET('Smelter Reference List'!$E$4,$S140-4,0))</f>
        <v>CID001458</v>
      </c>
      <c r="G140" s="292" t="str">
        <f ca="1">IF(C140=$U$4,"Enter smelter details", IF(ISERROR($S140),"",OFFSET('Smelter Reference List'!$F$4,$S140-4,0)))</f>
        <v>CFSI</v>
      </c>
      <c r="H140" s="293">
        <f ca="1">IF(ISERROR($S140),"",OFFSET('Smelter Reference List'!$G$4,$S140-4,0))</f>
        <v>0</v>
      </c>
      <c r="I140" s="294" t="str">
        <f ca="1">IF(ISERROR($S140),"",OFFSET('Smelter Reference List'!$H$4,$S140-4,0))</f>
        <v>Pangkal Pinang</v>
      </c>
      <c r="J140" s="294" t="str">
        <f ca="1">IF(ISERROR($S140),"",OFFSET('Smelter Reference List'!$I$4,$S140-4,0))</f>
        <v>Bangka</v>
      </c>
      <c r="K140" s="295"/>
      <c r="L140" s="295"/>
      <c r="M140" s="295"/>
      <c r="N140" s="295"/>
      <c r="O140" s="295"/>
      <c r="P140" s="295"/>
      <c r="Q140" s="296"/>
      <c r="R140" s="227"/>
      <c r="S140" s="228">
        <f ca="1">IF(C140="",NA(),MATCH($B140&amp;$C140,'Smelter Reference List'!$J:$J,0))</f>
        <v>422</v>
      </c>
      <c r="T140" s="229"/>
      <c r="U140" s="229">
        <f t="shared" ca="1" si="6"/>
        <v>0</v>
      </c>
      <c r="V140" s="229"/>
      <c r="W140" s="229"/>
      <c r="Y140" s="223" t="str">
        <f t="shared" ca="1" si="7"/>
        <v>TinPT Prima Timah Utama</v>
      </c>
    </row>
    <row r="141" spans="1:25" s="223" customFormat="1" ht="20.25">
      <c r="A141" s="291" t="s">
        <v>1372</v>
      </c>
      <c r="B141" s="292" t="str">
        <f ca="1">IF(LEN(A141)=0,"",INDEX('Smelter Reference List'!$A:$A,MATCH($A141,'Smelter Reference List'!$E:$E,0)))</f>
        <v>Tin</v>
      </c>
      <c r="C141" s="298" t="str">
        <f ca="1">IF(LEN(A141)=0,"",INDEX('Smelter Reference List'!$C:$C,MATCH($A141,'Smelter Reference List'!$E:$E,0)))</f>
        <v>PT Refined Bangka Tin</v>
      </c>
      <c r="D141" s="292" t="str">
        <f ca="1">IF(ISERROR($S141),"",OFFSET('Smelter Reference List'!$C$4,$S141-4,0)&amp;"")</f>
        <v>PT Refined Bangka Tin</v>
      </c>
      <c r="E141" s="292" t="str">
        <f ca="1">IF(ISERROR($S141),"",OFFSET('Smelter Reference List'!$D$4,$S141-4,0)&amp;"")</f>
        <v>INDONESIA</v>
      </c>
      <c r="F141" s="292" t="str">
        <f ca="1">IF(ISERROR($S141),"",OFFSET('Smelter Reference List'!$E$4,$S141-4,0))</f>
        <v>CID001460</v>
      </c>
      <c r="G141" s="292" t="str">
        <f ca="1">IF(C141=$U$4,"Enter smelter details", IF(ISERROR($S141),"",OFFSET('Smelter Reference List'!$F$4,$S141-4,0)))</f>
        <v>CFSI</v>
      </c>
      <c r="H141" s="293">
        <f ca="1">IF(ISERROR($S141),"",OFFSET('Smelter Reference List'!$G$4,$S141-4,0))</f>
        <v>0</v>
      </c>
      <c r="I141" s="294" t="str">
        <f ca="1">IF(ISERROR($S141),"",OFFSET('Smelter Reference List'!$H$4,$S141-4,0))</f>
        <v>Sungailiat</v>
      </c>
      <c r="J141" s="294" t="str">
        <f ca="1">IF(ISERROR($S141),"",OFFSET('Smelter Reference List'!$I$4,$S141-4,0))</f>
        <v>Bangka</v>
      </c>
      <c r="K141" s="295"/>
      <c r="L141" s="295"/>
      <c r="M141" s="295"/>
      <c r="N141" s="295"/>
      <c r="O141" s="295"/>
      <c r="P141" s="295"/>
      <c r="Q141" s="296"/>
      <c r="R141" s="227"/>
      <c r="S141" s="228">
        <f ca="1">IF(C141="",NA(),MATCH($B141&amp;$C141,'Smelter Reference List'!$J:$J,0))</f>
        <v>423</v>
      </c>
      <c r="T141" s="229"/>
      <c r="U141" s="229">
        <f t="shared" ca="1" si="6"/>
        <v>0</v>
      </c>
      <c r="V141" s="229"/>
      <c r="W141" s="229"/>
      <c r="Y141" s="223" t="str">
        <f t="shared" ca="1" si="7"/>
        <v>TinPT Refined Bangka Tin</v>
      </c>
    </row>
    <row r="142" spans="1:25" s="223" customFormat="1" ht="20.25">
      <c r="A142" s="291" t="s">
        <v>1373</v>
      </c>
      <c r="B142" s="292" t="str">
        <f ca="1">IF(LEN(A142)=0,"",INDEX('Smelter Reference List'!$A:$A,MATCH($A142,'Smelter Reference List'!$E:$E,0)))</f>
        <v>Tin</v>
      </c>
      <c r="C142" s="298" t="str">
        <f ca="1">IF(LEN(A142)=0,"",INDEX('Smelter Reference List'!$C:$C,MATCH($A142,'Smelter Reference List'!$E:$E,0)))</f>
        <v>PT Sariwiguna Binasentosa</v>
      </c>
      <c r="D142" s="292" t="str">
        <f ca="1">IF(ISERROR($S142),"",OFFSET('Smelter Reference List'!$C$4,$S142-4,0)&amp;"")</f>
        <v>PT Sariwiguna Binasentosa</v>
      </c>
      <c r="E142" s="292" t="str">
        <f ca="1">IF(ISERROR($S142),"",OFFSET('Smelter Reference List'!$D$4,$S142-4,0)&amp;"")</f>
        <v>INDONESIA</v>
      </c>
      <c r="F142" s="292" t="str">
        <f ca="1">IF(ISERROR($S142),"",OFFSET('Smelter Reference List'!$E$4,$S142-4,0))</f>
        <v>CID001463</v>
      </c>
      <c r="G142" s="292" t="str">
        <f ca="1">IF(C142=$U$4,"Enter smelter details", IF(ISERROR($S142),"",OFFSET('Smelter Reference List'!$F$4,$S142-4,0)))</f>
        <v>CFSI</v>
      </c>
      <c r="H142" s="293">
        <f ca="1">IF(ISERROR($S142),"",OFFSET('Smelter Reference List'!$G$4,$S142-4,0))</f>
        <v>0</v>
      </c>
      <c r="I142" s="294" t="str">
        <f ca="1">IF(ISERROR($S142),"",OFFSET('Smelter Reference List'!$H$4,$S142-4,0))</f>
        <v>Pangkal Pinang</v>
      </c>
      <c r="J142" s="294" t="str">
        <f ca="1">IF(ISERROR($S142),"",OFFSET('Smelter Reference List'!$I$4,$S142-4,0))</f>
        <v>Bangka</v>
      </c>
      <c r="K142" s="295"/>
      <c r="L142" s="295"/>
      <c r="M142" s="295"/>
      <c r="N142" s="295"/>
      <c r="O142" s="295"/>
      <c r="P142" s="295"/>
      <c r="Q142" s="296"/>
      <c r="R142" s="227"/>
      <c r="S142" s="228">
        <f ca="1">IF(C142="",NA(),MATCH($B142&amp;$C142,'Smelter Reference List'!$J:$J,0))</f>
        <v>424</v>
      </c>
      <c r="T142" s="229"/>
      <c r="U142" s="229">
        <f t="shared" ca="1" si="6"/>
        <v>0</v>
      </c>
      <c r="V142" s="229"/>
      <c r="W142" s="229"/>
      <c r="Y142" s="223" t="str">
        <f t="shared" ca="1" si="7"/>
        <v>TinPT Sariwiguna Binasentosa</v>
      </c>
    </row>
    <row r="143" spans="1:25" s="223" customFormat="1" ht="20.25">
      <c r="A143" s="291" t="s">
        <v>1374</v>
      </c>
      <c r="B143" s="292" t="str">
        <f ca="1">IF(LEN(A143)=0,"",INDEX('Smelter Reference List'!$A:$A,MATCH($A143,'Smelter Reference List'!$E:$E,0)))</f>
        <v>Tin</v>
      </c>
      <c r="C143" s="298" t="str">
        <f ca="1">IF(LEN(A143)=0,"",INDEX('Smelter Reference List'!$C:$C,MATCH($A143,'Smelter Reference List'!$E:$E,0)))</f>
        <v>PT Stanindo Inti Perkasa</v>
      </c>
      <c r="D143" s="292" t="str">
        <f ca="1">IF(ISERROR($S143),"",OFFSET('Smelter Reference List'!$C$4,$S143-4,0)&amp;"")</f>
        <v>PT Stanindo Inti Perkasa</v>
      </c>
      <c r="E143" s="292" t="str">
        <f ca="1">IF(ISERROR($S143),"",OFFSET('Smelter Reference List'!$D$4,$S143-4,0)&amp;"")</f>
        <v>INDONESIA</v>
      </c>
      <c r="F143" s="292" t="str">
        <f ca="1">IF(ISERROR($S143),"",OFFSET('Smelter Reference List'!$E$4,$S143-4,0))</f>
        <v>CID001468</v>
      </c>
      <c r="G143" s="292" t="str">
        <f ca="1">IF(C143=$U$4,"Enter smelter details", IF(ISERROR($S143),"",OFFSET('Smelter Reference List'!$F$4,$S143-4,0)))</f>
        <v>CFSI</v>
      </c>
      <c r="H143" s="293">
        <f ca="1">IF(ISERROR($S143),"",OFFSET('Smelter Reference List'!$G$4,$S143-4,0))</f>
        <v>0</v>
      </c>
      <c r="I143" s="294" t="str">
        <f ca="1">IF(ISERROR($S143),"",OFFSET('Smelter Reference List'!$H$4,$S143-4,0))</f>
        <v>Pangkal Pinang</v>
      </c>
      <c r="J143" s="294" t="str">
        <f ca="1">IF(ISERROR($S143),"",OFFSET('Smelter Reference List'!$I$4,$S143-4,0))</f>
        <v>Bangka</v>
      </c>
      <c r="K143" s="295"/>
      <c r="L143" s="295"/>
      <c r="M143" s="295"/>
      <c r="N143" s="295"/>
      <c r="O143" s="295"/>
      <c r="P143" s="295"/>
      <c r="Q143" s="296"/>
      <c r="R143" s="227"/>
      <c r="S143" s="228">
        <f ca="1">IF(C143="",NA(),MATCH($B143&amp;$C143,'Smelter Reference List'!$J:$J,0))</f>
        <v>425</v>
      </c>
      <c r="T143" s="229"/>
      <c r="U143" s="229">
        <f t="shared" ca="1" si="6"/>
        <v>0</v>
      </c>
      <c r="V143" s="229"/>
      <c r="W143" s="229"/>
      <c r="Y143" s="223" t="str">
        <f t="shared" ca="1" si="7"/>
        <v>TinPT Stanindo Inti Perkasa</v>
      </c>
    </row>
    <row r="144" spans="1:25" s="223" customFormat="1" ht="20.25">
      <c r="A144" s="291" t="s">
        <v>2635</v>
      </c>
      <c r="B144" s="292" t="str">
        <f ca="1">IF(LEN(A144)=0,"",INDEX('Smelter Reference List'!$A:$A,MATCH($A144,'Smelter Reference List'!$E:$E,0)))</f>
        <v>Tin</v>
      </c>
      <c r="C144" s="298" t="str">
        <f ca="1">IF(LEN(A144)=0,"",INDEX('Smelter Reference List'!$C:$C,MATCH($A144,'Smelter Reference List'!$E:$E,0)))</f>
        <v>PT Sumber Jaya Indah</v>
      </c>
      <c r="D144" s="292" t="str">
        <f ca="1">IF(ISERROR($S144),"",OFFSET('Smelter Reference List'!$C$4,$S144-4,0)&amp;"")</f>
        <v>PT Sumber Jaya Indah</v>
      </c>
      <c r="E144" s="292" t="str">
        <f ca="1">IF(ISERROR($S144),"",OFFSET('Smelter Reference List'!$D$4,$S144-4,0)&amp;"")</f>
        <v>INDONESIA</v>
      </c>
      <c r="F144" s="292" t="str">
        <f ca="1">IF(ISERROR($S144),"",OFFSET('Smelter Reference List'!$E$4,$S144-4,0))</f>
        <v>CID001471</v>
      </c>
      <c r="G144" s="292" t="str">
        <f ca="1">IF(C144=$U$4,"Enter smelter details", IF(ISERROR($S144),"",OFFSET('Smelter Reference List'!$F$4,$S144-4,0)))</f>
        <v>CFSI</v>
      </c>
      <c r="H144" s="293">
        <f ca="1">IF(ISERROR($S144),"",OFFSET('Smelter Reference List'!$G$4,$S144-4,0))</f>
        <v>0</v>
      </c>
      <c r="I144" s="294" t="str">
        <f ca="1">IF(ISERROR($S144),"",OFFSET('Smelter Reference List'!$H$4,$S144-4,0))</f>
        <v>Pangkal Pinang</v>
      </c>
      <c r="J144" s="294" t="str">
        <f ca="1">IF(ISERROR($S144),"",OFFSET('Smelter Reference List'!$I$4,$S144-4,0))</f>
        <v>Bangka</v>
      </c>
      <c r="K144" s="295"/>
      <c r="L144" s="295"/>
      <c r="M144" s="295"/>
      <c r="N144" s="295"/>
      <c r="O144" s="295"/>
      <c r="P144" s="295"/>
      <c r="Q144" s="296"/>
      <c r="R144" s="227"/>
      <c r="S144" s="228">
        <f ca="1">IF(C144="",NA(),MATCH($B144&amp;$C144,'Smelter Reference List'!$J:$J,0))</f>
        <v>427</v>
      </c>
      <c r="T144" s="229"/>
      <c r="U144" s="229">
        <f t="shared" ca="1" si="6"/>
        <v>0</v>
      </c>
      <c r="V144" s="229"/>
      <c r="W144" s="229"/>
      <c r="Y144" s="223" t="str">
        <f t="shared" ca="1" si="7"/>
        <v>TinPT Sumber Jaya Indah</v>
      </c>
    </row>
    <row r="145" spans="1:25" s="223" customFormat="1" ht="20.25">
      <c r="A145" s="291" t="s">
        <v>1399</v>
      </c>
      <c r="B145" s="292" t="str">
        <f ca="1">IF(LEN(A145)=0,"",INDEX('Smelter Reference List'!$A:$A,MATCH($A145,'Smelter Reference List'!$E:$E,0)))</f>
        <v>Tin</v>
      </c>
      <c r="C145" s="298" t="str">
        <f ca="1">IF(LEN(A145)=0,"",INDEX('Smelter Reference List'!$C:$C,MATCH($A145,'Smelter Reference List'!$E:$E,0)))</f>
        <v>PT Timah (Persero) Tbk Kundur</v>
      </c>
      <c r="D145" s="292" t="str">
        <f ca="1">IF(ISERROR($S145),"",OFFSET('Smelter Reference List'!$C$4,$S145-4,0)&amp;"")</f>
        <v>PT Timah (Persero) Tbk Kundur</v>
      </c>
      <c r="E145" s="292" t="str">
        <f ca="1">IF(ISERROR($S145),"",OFFSET('Smelter Reference List'!$D$4,$S145-4,0)&amp;"")</f>
        <v>INDONESIA</v>
      </c>
      <c r="F145" s="292" t="str">
        <f ca="1">IF(ISERROR($S145),"",OFFSET('Smelter Reference List'!$E$4,$S145-4,0))</f>
        <v>CID001477</v>
      </c>
      <c r="G145" s="292" t="str">
        <f ca="1">IF(C145=$U$4,"Enter smelter details", IF(ISERROR($S145),"",OFFSET('Smelter Reference List'!$F$4,$S145-4,0)))</f>
        <v>CFSI</v>
      </c>
      <c r="H145" s="293">
        <f ca="1">IF(ISERROR($S145),"",OFFSET('Smelter Reference List'!$G$4,$S145-4,0))</f>
        <v>0</v>
      </c>
      <c r="I145" s="294" t="str">
        <f ca="1">IF(ISERROR($S145),"",OFFSET('Smelter Reference List'!$H$4,$S145-4,0))</f>
        <v>Kundur</v>
      </c>
      <c r="J145" s="294" t="str">
        <f ca="1">IF(ISERROR($S145),"",OFFSET('Smelter Reference List'!$I$4,$S145-4,0))</f>
        <v>Riau Islands</v>
      </c>
      <c r="K145" s="295"/>
      <c r="L145" s="295"/>
      <c r="M145" s="295"/>
      <c r="N145" s="295"/>
      <c r="O145" s="295"/>
      <c r="P145" s="295"/>
      <c r="Q145" s="296"/>
      <c r="R145" s="227"/>
      <c r="S145" s="228">
        <f ca="1">IF(C145="",NA(),MATCH($B145&amp;$C145,'Smelter Reference List'!$J:$J,0))</f>
        <v>429</v>
      </c>
      <c r="T145" s="229"/>
      <c r="U145" s="229">
        <f t="shared" ca="1" si="6"/>
        <v>0</v>
      </c>
      <c r="V145" s="229"/>
      <c r="W145" s="229"/>
      <c r="Y145" s="223" t="str">
        <f t="shared" ca="1" si="7"/>
        <v>TinPT Timah (Persero) Tbk Kundur</v>
      </c>
    </row>
    <row r="146" spans="1:25" s="223" customFormat="1" ht="20.25">
      <c r="A146" s="291" t="s">
        <v>1375</v>
      </c>
      <c r="B146" s="292" t="str">
        <f ca="1">IF(LEN(A146)=0,"",INDEX('Smelter Reference List'!$A:$A,MATCH($A146,'Smelter Reference List'!$E:$E,0)))</f>
        <v>Tin</v>
      </c>
      <c r="C146" s="298" t="str">
        <f ca="1">IF(LEN(A146)=0,"",INDEX('Smelter Reference List'!$C:$C,MATCH($A146,'Smelter Reference List'!$E:$E,0)))</f>
        <v>PT Timah (Persero) Tbk Mentok</v>
      </c>
      <c r="D146" s="292" t="str">
        <f ca="1">IF(ISERROR($S146),"",OFFSET('Smelter Reference List'!$C$4,$S146-4,0)&amp;"")</f>
        <v>PT Timah (Persero) Tbk Mentok</v>
      </c>
      <c r="E146" s="292" t="str">
        <f ca="1">IF(ISERROR($S146),"",OFFSET('Smelter Reference List'!$D$4,$S146-4,0)&amp;"")</f>
        <v>INDONESIA</v>
      </c>
      <c r="F146" s="292" t="str">
        <f ca="1">IF(ISERROR($S146),"",OFFSET('Smelter Reference List'!$E$4,$S146-4,0))</f>
        <v>CID001482</v>
      </c>
      <c r="G146" s="292" t="str">
        <f ca="1">IF(C146=$U$4,"Enter smelter details", IF(ISERROR($S146),"",OFFSET('Smelter Reference List'!$F$4,$S146-4,0)))</f>
        <v>CFSI</v>
      </c>
      <c r="H146" s="293">
        <f ca="1">IF(ISERROR($S146),"",OFFSET('Smelter Reference List'!$G$4,$S146-4,0))</f>
        <v>0</v>
      </c>
      <c r="I146" s="294" t="str">
        <f ca="1">IF(ISERROR($S146),"",OFFSET('Smelter Reference List'!$H$4,$S146-4,0))</f>
        <v>Mentok</v>
      </c>
      <c r="J146" s="294" t="str">
        <f ca="1">IF(ISERROR($S146),"",OFFSET('Smelter Reference List'!$I$4,$S146-4,0))</f>
        <v>Bangka</v>
      </c>
      <c r="K146" s="295"/>
      <c r="L146" s="295"/>
      <c r="M146" s="295"/>
      <c r="N146" s="295"/>
      <c r="O146" s="295"/>
      <c r="P146" s="295"/>
      <c r="Q146" s="296"/>
      <c r="R146" s="227"/>
      <c r="S146" s="228">
        <f ca="1">IF(C146="",NA(),MATCH($B146&amp;$C146,'Smelter Reference List'!$J:$J,0))</f>
        <v>430</v>
      </c>
      <c r="T146" s="229"/>
      <c r="U146" s="229">
        <f t="shared" ca="1" si="6"/>
        <v>0</v>
      </c>
      <c r="V146" s="229"/>
      <c r="W146" s="229"/>
      <c r="Y146" s="223" t="str">
        <f t="shared" ca="1" si="7"/>
        <v>TinPT Timah (Persero) Tbk Mentok</v>
      </c>
    </row>
    <row r="147" spans="1:25" s="223" customFormat="1" ht="20.25">
      <c r="A147" s="291" t="s">
        <v>1376</v>
      </c>
      <c r="B147" s="292" t="str">
        <f ca="1">IF(LEN(A147)=0,"",INDEX('Smelter Reference List'!$A:$A,MATCH($A147,'Smelter Reference List'!$E:$E,0)))</f>
        <v>Tin</v>
      </c>
      <c r="C147" s="298" t="str">
        <f ca="1">IF(LEN(A147)=0,"",INDEX('Smelter Reference List'!$C:$C,MATCH($A147,'Smelter Reference List'!$E:$E,0)))</f>
        <v>PT Tinindo Inter Nusa</v>
      </c>
      <c r="D147" s="292" t="str">
        <f ca="1">IF(ISERROR($S147),"",OFFSET('Smelter Reference List'!$C$4,$S147-4,0)&amp;"")</f>
        <v>PT Tinindo Inter Nusa</v>
      </c>
      <c r="E147" s="292" t="str">
        <f ca="1">IF(ISERROR($S147),"",OFFSET('Smelter Reference List'!$D$4,$S147-4,0)&amp;"")</f>
        <v>INDONESIA</v>
      </c>
      <c r="F147" s="292" t="str">
        <f ca="1">IF(ISERROR($S147),"",OFFSET('Smelter Reference List'!$E$4,$S147-4,0))</f>
        <v>CID001490</v>
      </c>
      <c r="G147" s="292" t="str">
        <f ca="1">IF(C147=$U$4,"Enter smelter details", IF(ISERROR($S147),"",OFFSET('Smelter Reference List'!$F$4,$S147-4,0)))</f>
        <v>CFSI</v>
      </c>
      <c r="H147" s="293">
        <f ca="1">IF(ISERROR($S147),"",OFFSET('Smelter Reference List'!$G$4,$S147-4,0))</f>
        <v>0</v>
      </c>
      <c r="I147" s="294" t="str">
        <f ca="1">IF(ISERROR($S147),"",OFFSET('Smelter Reference List'!$H$4,$S147-4,0))</f>
        <v>Pangkal Pinang</v>
      </c>
      <c r="J147" s="294" t="str">
        <f ca="1">IF(ISERROR($S147),"",OFFSET('Smelter Reference List'!$I$4,$S147-4,0))</f>
        <v>Bangka</v>
      </c>
      <c r="K147" s="295"/>
      <c r="L147" s="295"/>
      <c r="M147" s="295"/>
      <c r="N147" s="295"/>
      <c r="O147" s="295"/>
      <c r="P147" s="295"/>
      <c r="Q147" s="296"/>
      <c r="R147" s="227"/>
      <c r="S147" s="228">
        <f ca="1">IF(C147="",NA(),MATCH($B147&amp;$C147,'Smelter Reference List'!$J:$J,0))</f>
        <v>431</v>
      </c>
      <c r="T147" s="229"/>
      <c r="U147" s="229">
        <f t="shared" ca="1" si="6"/>
        <v>0</v>
      </c>
      <c r="V147" s="229"/>
      <c r="W147" s="229"/>
      <c r="Y147" s="223" t="str">
        <f t="shared" ca="1" si="7"/>
        <v>TinPT Tinindo Inter Nusa</v>
      </c>
    </row>
    <row r="148" spans="1:25" s="223" customFormat="1" ht="20.25">
      <c r="A148" s="291" t="s">
        <v>4214</v>
      </c>
      <c r="B148" s="292" t="str">
        <f ca="1">IF(LEN(A148)=0,"",INDEX('Smelter Reference List'!$A:$A,MATCH($A148,'Smelter Reference List'!$E:$E,0)))</f>
        <v>Tin</v>
      </c>
      <c r="C148" s="298" t="str">
        <f ca="1">IF(LEN(A148)=0,"",INDEX('Smelter Reference List'!$C:$C,MATCH($A148,'Smelter Reference List'!$E:$E,0)))</f>
        <v>PT Tommy Utama</v>
      </c>
      <c r="D148" s="292" t="str">
        <f ca="1">IF(ISERROR($S148),"",OFFSET('Smelter Reference List'!$C$4,$S148-4,0)&amp;"")</f>
        <v>PT Tommy Utama</v>
      </c>
      <c r="E148" s="292" t="str">
        <f ca="1">IF(ISERROR($S148),"",OFFSET('Smelter Reference List'!$D$4,$S148-4,0)&amp;"")</f>
        <v>INDONESIA</v>
      </c>
      <c r="F148" s="292" t="str">
        <f ca="1">IF(ISERROR($S148),"",OFFSET('Smelter Reference List'!$E$4,$S148-4,0))</f>
        <v>CID001493</v>
      </c>
      <c r="G148" s="292" t="str">
        <f ca="1">IF(C148=$U$4,"Enter smelter details", IF(ISERROR($S148),"",OFFSET('Smelter Reference List'!$F$4,$S148-4,0)))</f>
        <v>CFSI</v>
      </c>
      <c r="H148" s="293">
        <f ca="1">IF(ISERROR($S148),"",OFFSET('Smelter Reference List'!$G$4,$S148-4,0))</f>
        <v>0</v>
      </c>
      <c r="I148" s="294" t="str">
        <f ca="1">IF(ISERROR($S148),"",OFFSET('Smelter Reference List'!$H$4,$S148-4,0))</f>
        <v>Sumping Desa Batu Peyu</v>
      </c>
      <c r="J148" s="294" t="str">
        <f ca="1">IF(ISERROR($S148),"",OFFSET('Smelter Reference List'!$I$4,$S148-4,0))</f>
        <v>Belitung</v>
      </c>
      <c r="K148" s="295"/>
      <c r="L148" s="295"/>
      <c r="M148" s="295"/>
      <c r="N148" s="295"/>
      <c r="O148" s="295"/>
      <c r="P148" s="295"/>
      <c r="Q148" s="296"/>
      <c r="R148" s="227"/>
      <c r="S148" s="228">
        <f ca="1">IF(C148="",NA(),MATCH($B148&amp;$C148,'Smelter Reference List'!$J:$J,0))</f>
        <v>433</v>
      </c>
      <c r="T148" s="229"/>
      <c r="U148" s="229">
        <f t="shared" ca="1" si="6"/>
        <v>0</v>
      </c>
      <c r="V148" s="229"/>
      <c r="W148" s="229"/>
      <c r="Y148" s="223" t="str">
        <f t="shared" ca="1" si="7"/>
        <v>TinPT Tommy Utama</v>
      </c>
    </row>
    <row r="149" spans="1:25" s="223" customFormat="1" ht="20.25">
      <c r="A149" s="291" t="s">
        <v>1286</v>
      </c>
      <c r="B149" s="292" t="str">
        <f ca="1">IF(LEN(A149)=0,"",INDEX('Smelter Reference List'!$A:$A,MATCH($A149,'Smelter Reference List'!$E:$E,0)))</f>
        <v>Gold</v>
      </c>
      <c r="C149" s="298" t="str">
        <f ca="1">IF(LEN(A149)=0,"",INDEX('Smelter Reference List'!$C:$C,MATCH($A149,'Smelter Reference List'!$E:$E,0)))</f>
        <v>PX Précinox S.A.</v>
      </c>
      <c r="D149" s="292" t="str">
        <f ca="1">IF(ISERROR($S149),"",OFFSET('Smelter Reference List'!$C$4,$S149-4,0)&amp;"")</f>
        <v>PX Précinox S.A.</v>
      </c>
      <c r="E149" s="292" t="str">
        <f ca="1">IF(ISERROR($S149),"",OFFSET('Smelter Reference List'!$D$4,$S149-4,0)&amp;"")</f>
        <v>SWITZERLAND</v>
      </c>
      <c r="F149" s="292" t="str">
        <f ca="1">IF(ISERROR($S149),"",OFFSET('Smelter Reference List'!$E$4,$S149-4,0))</f>
        <v>CID001498</v>
      </c>
      <c r="G149" s="292" t="str">
        <f ca="1">IF(C149=$U$4,"Enter smelter details", IF(ISERROR($S149),"",OFFSET('Smelter Reference List'!$F$4,$S149-4,0)))</f>
        <v>CFSI</v>
      </c>
      <c r="H149" s="293">
        <f ca="1">IF(ISERROR($S149),"",OFFSET('Smelter Reference List'!$G$4,$S149-4,0))</f>
        <v>0</v>
      </c>
      <c r="I149" s="294" t="str">
        <f ca="1">IF(ISERROR($S149),"",OFFSET('Smelter Reference List'!$H$4,$S149-4,0))</f>
        <v>La Chaux-de-Fonds</v>
      </c>
      <c r="J149" s="294" t="str">
        <f ca="1">IF(ISERROR($S149),"",OFFSET('Smelter Reference List'!$I$4,$S149-4,0))</f>
        <v>Neuchâtel</v>
      </c>
      <c r="K149" s="295"/>
      <c r="L149" s="295"/>
      <c r="M149" s="295"/>
      <c r="N149" s="295"/>
      <c r="O149" s="295"/>
      <c r="P149" s="295"/>
      <c r="Q149" s="296"/>
      <c r="R149" s="227"/>
      <c r="S149" s="228">
        <f ca="1">IF(C149="",NA(),MATCH($B149&amp;$C149,'Smelter Reference List'!$J:$J,0))</f>
        <v>157</v>
      </c>
      <c r="T149" s="229"/>
      <c r="U149" s="229">
        <f t="shared" ca="1" si="6"/>
        <v>0</v>
      </c>
      <c r="V149" s="229"/>
      <c r="W149" s="229"/>
      <c r="Y149" s="223" t="str">
        <f t="shared" ca="1" si="7"/>
        <v>GoldPX Précinox S.A.</v>
      </c>
    </row>
    <row r="150" spans="1:25" s="223" customFormat="1" ht="20.25">
      <c r="A150" s="291" t="s">
        <v>1332</v>
      </c>
      <c r="B150" s="292" t="str">
        <f ca="1">IF(LEN(A150)=0,"",INDEX('Smelter Reference List'!$A:$A,MATCH($A150,'Smelter Reference List'!$E:$E,0)))</f>
        <v>Tantalum</v>
      </c>
      <c r="C150" s="298" t="str">
        <f ca="1">IF(LEN(A150)=0,"",INDEX('Smelter Reference List'!$C:$C,MATCH($A150,'Smelter Reference List'!$E:$E,0)))</f>
        <v>QuantumClean</v>
      </c>
      <c r="D150" s="292" t="str">
        <f ca="1">IF(ISERROR($S150),"",OFFSET('Smelter Reference List'!$C$4,$S150-4,0)&amp;"")</f>
        <v>QuantumClean</v>
      </c>
      <c r="E150" s="292" t="str">
        <f ca="1">IF(ISERROR($S150),"",OFFSET('Smelter Reference List'!$D$4,$S150-4,0)&amp;"")</f>
        <v>UNITED STATES OF AMERICA</v>
      </c>
      <c r="F150" s="292" t="str">
        <f ca="1">IF(ISERROR($S150),"",OFFSET('Smelter Reference List'!$E$4,$S150-4,0))</f>
        <v>CID001508</v>
      </c>
      <c r="G150" s="292" t="str">
        <f ca="1">IF(C150=$U$4,"Enter smelter details", IF(ISERROR($S150),"",OFFSET('Smelter Reference List'!$F$4,$S150-4,0)))</f>
        <v>CFSI</v>
      </c>
      <c r="H150" s="293">
        <f ca="1">IF(ISERROR($S150),"",OFFSET('Smelter Reference List'!$G$4,$S150-4,0))</f>
        <v>0</v>
      </c>
      <c r="I150" s="294" t="str">
        <f ca="1">IF(ISERROR($S150),"",OFFSET('Smelter Reference List'!$H$4,$S150-4,0))</f>
        <v>Fremont</v>
      </c>
      <c r="J150" s="294" t="str">
        <f ca="1">IF(ISERROR($S150),"",OFFSET('Smelter Reference List'!$I$4,$S150-4,0))</f>
        <v>California</v>
      </c>
      <c r="K150" s="295"/>
      <c r="L150" s="295"/>
      <c r="M150" s="295"/>
      <c r="N150" s="295"/>
      <c r="O150" s="295"/>
      <c r="P150" s="295"/>
      <c r="Q150" s="296"/>
      <c r="R150" s="227"/>
      <c r="S150" s="228">
        <f ca="1">IF(C150="",NA(),MATCH($B150&amp;$C150,'Smelter Reference List'!$J:$J,0))</f>
        <v>288</v>
      </c>
      <c r="T150" s="229"/>
      <c r="U150" s="229">
        <f t="shared" ca="1" si="6"/>
        <v>0</v>
      </c>
      <c r="V150" s="229"/>
      <c r="W150" s="229"/>
      <c r="Y150" s="223" t="str">
        <f t="shared" ca="1" si="7"/>
        <v>TantalumQuantumClean</v>
      </c>
    </row>
    <row r="151" spans="1:25" s="223" customFormat="1" ht="20.25">
      <c r="A151" s="291" t="s">
        <v>1287</v>
      </c>
      <c r="B151" s="292" t="str">
        <f ca="1">IF(LEN(A151)=0,"",INDEX('Smelter Reference List'!$A:$A,MATCH($A151,'Smelter Reference List'!$E:$E,0)))</f>
        <v>Gold</v>
      </c>
      <c r="C151" s="298" t="str">
        <f ca="1">IF(LEN(A151)=0,"",INDEX('Smelter Reference List'!$C:$C,MATCH($A151,'Smelter Reference List'!$E:$E,0)))</f>
        <v>Rand Refinery (Pty) Ltd.</v>
      </c>
      <c r="D151" s="292" t="str">
        <f ca="1">IF(ISERROR($S151),"",OFFSET('Smelter Reference List'!$C$4,$S151-4,0)&amp;"")</f>
        <v>Rand Refinery (Pty) Ltd.</v>
      </c>
      <c r="E151" s="292" t="str">
        <f ca="1">IF(ISERROR($S151),"",OFFSET('Smelter Reference List'!$D$4,$S151-4,0)&amp;"")</f>
        <v>SOUTH AFRICA</v>
      </c>
      <c r="F151" s="292" t="str">
        <f ca="1">IF(ISERROR($S151),"",OFFSET('Smelter Reference List'!$E$4,$S151-4,0))</f>
        <v>CID001512</v>
      </c>
      <c r="G151" s="292" t="str">
        <f ca="1">IF(C151=$U$4,"Enter smelter details", IF(ISERROR($S151),"",OFFSET('Smelter Reference List'!$F$4,$S151-4,0)))</f>
        <v>CFSI</v>
      </c>
      <c r="H151" s="293">
        <f ca="1">IF(ISERROR($S151),"",OFFSET('Smelter Reference List'!$G$4,$S151-4,0))</f>
        <v>0</v>
      </c>
      <c r="I151" s="294" t="str">
        <f ca="1">IF(ISERROR($S151),"",OFFSET('Smelter Reference List'!$H$4,$S151-4,0))</f>
        <v>Germiston</v>
      </c>
      <c r="J151" s="294" t="str">
        <f ca="1">IF(ISERROR($S151),"",OFFSET('Smelter Reference List'!$I$4,$S151-4,0))</f>
        <v>Gauteng</v>
      </c>
      <c r="K151" s="295"/>
      <c r="L151" s="295"/>
      <c r="M151" s="295"/>
      <c r="N151" s="295"/>
      <c r="O151" s="295"/>
      <c r="P151" s="295"/>
      <c r="Q151" s="296"/>
      <c r="R151" s="227"/>
      <c r="S151" s="228">
        <f ca="1">IF(C151="",NA(),MATCH($B151&amp;$C151,'Smelter Reference List'!$J:$J,0))</f>
        <v>158</v>
      </c>
      <c r="T151" s="229"/>
      <c r="U151" s="229">
        <f t="shared" ca="1" si="6"/>
        <v>0</v>
      </c>
      <c r="V151" s="229"/>
      <c r="W151" s="229"/>
      <c r="Y151" s="223" t="str">
        <f t="shared" ca="1" si="7"/>
        <v>GoldRand Refinery (Pty) Ltd.</v>
      </c>
    </row>
    <row r="152" spans="1:25" s="223" customFormat="1" ht="20.25">
      <c r="A152" s="291" t="s">
        <v>1333</v>
      </c>
      <c r="B152" s="292" t="str">
        <f ca="1">IF(LEN(A152)=0,"",INDEX('Smelter Reference List'!$A:$A,MATCH($A152,'Smelter Reference List'!$E:$E,0)))</f>
        <v>Tantalum</v>
      </c>
      <c r="C152" s="298" t="str">
        <f ca="1">IF(LEN(A152)=0,"",INDEX('Smelter Reference List'!$C:$C,MATCH($A152,'Smelter Reference List'!$E:$E,0)))</f>
        <v>RFH Tantalum Smeltry Co., Ltd.</v>
      </c>
      <c r="D152" s="292" t="str">
        <f ca="1">IF(ISERROR($S152),"",OFFSET('Smelter Reference List'!$C$4,$S152-4,0)&amp;"")</f>
        <v>RFH Tantalum Smeltry Co., Ltd.</v>
      </c>
      <c r="E152" s="292" t="str">
        <f ca="1">IF(ISERROR($S152),"",OFFSET('Smelter Reference List'!$D$4,$S152-4,0)&amp;"")</f>
        <v>CHINA</v>
      </c>
      <c r="F152" s="292" t="str">
        <f ca="1">IF(ISERROR($S152),"",OFFSET('Smelter Reference List'!$E$4,$S152-4,0))</f>
        <v>CID001522</v>
      </c>
      <c r="G152" s="292" t="str">
        <f ca="1">IF(C152=$U$4,"Enter smelter details", IF(ISERROR($S152),"",OFFSET('Smelter Reference List'!$F$4,$S152-4,0)))</f>
        <v>CFSI</v>
      </c>
      <c r="H152" s="293">
        <f ca="1">IF(ISERROR($S152),"",OFFSET('Smelter Reference List'!$G$4,$S152-4,0))</f>
        <v>0</v>
      </c>
      <c r="I152" s="294" t="str">
        <f ca="1">IF(ISERROR($S152),"",OFFSET('Smelter Reference List'!$H$4,$S152-4,0))</f>
        <v>Zhuzhou</v>
      </c>
      <c r="J152" s="294" t="str">
        <f ca="1">IF(ISERROR($S152),"",OFFSET('Smelter Reference List'!$I$4,$S152-4,0))</f>
        <v>Hunan</v>
      </c>
      <c r="K152" s="295"/>
      <c r="L152" s="295"/>
      <c r="M152" s="295"/>
      <c r="N152" s="295"/>
      <c r="O152" s="295"/>
      <c r="P152" s="295"/>
      <c r="Q152" s="296"/>
      <c r="R152" s="227"/>
      <c r="S152" s="228">
        <f ca="1">IF(C152="",NA(),MATCH($B152&amp;$C152,'Smelter Reference List'!$J:$J,0))</f>
        <v>292</v>
      </c>
      <c r="T152" s="229"/>
      <c r="U152" s="229">
        <f t="shared" ca="1" si="6"/>
        <v>0</v>
      </c>
      <c r="V152" s="229"/>
      <c r="W152" s="229"/>
      <c r="Y152" s="223" t="str">
        <f t="shared" ca="1" si="7"/>
        <v>TantalumRFH Tantalum Smeltry Co., Ltd.</v>
      </c>
    </row>
    <row r="153" spans="1:25" s="223" customFormat="1" ht="20.25">
      <c r="A153" s="291" t="s">
        <v>1288</v>
      </c>
      <c r="B153" s="292" t="str">
        <f ca="1">IF(LEN(A153)=0,"",INDEX('Smelter Reference List'!$A:$A,MATCH($A153,'Smelter Reference List'!$E:$E,0)))</f>
        <v>Gold</v>
      </c>
      <c r="C153" s="298" t="str">
        <f ca="1">IF(LEN(A153)=0,"",INDEX('Smelter Reference List'!$C:$C,MATCH($A153,'Smelter Reference List'!$E:$E,0)))</f>
        <v>Royal Canadian Mint</v>
      </c>
      <c r="D153" s="292" t="str">
        <f ca="1">IF(ISERROR($S153),"",OFFSET('Smelter Reference List'!$C$4,$S153-4,0)&amp;"")</f>
        <v>Royal Canadian Mint</v>
      </c>
      <c r="E153" s="292" t="str">
        <f ca="1">IF(ISERROR($S153),"",OFFSET('Smelter Reference List'!$D$4,$S153-4,0)&amp;"")</f>
        <v>CANADA</v>
      </c>
      <c r="F153" s="292" t="str">
        <f ca="1">IF(ISERROR($S153),"",OFFSET('Smelter Reference List'!$E$4,$S153-4,0))</f>
        <v>CID001534</v>
      </c>
      <c r="G153" s="292" t="str">
        <f ca="1">IF(C153=$U$4,"Enter smelter details", IF(ISERROR($S153),"",OFFSET('Smelter Reference List'!$F$4,$S153-4,0)))</f>
        <v>CFSI</v>
      </c>
      <c r="H153" s="293">
        <f ca="1">IF(ISERROR($S153),"",OFFSET('Smelter Reference List'!$G$4,$S153-4,0))</f>
        <v>0</v>
      </c>
      <c r="I153" s="294" t="str">
        <f ca="1">IF(ISERROR($S153),"",OFFSET('Smelter Reference List'!$H$4,$S153-4,0))</f>
        <v>Ottawa</v>
      </c>
      <c r="J153" s="294" t="str">
        <f ca="1">IF(ISERROR($S153),"",OFFSET('Smelter Reference List'!$I$4,$S153-4,0))</f>
        <v>Ontario</v>
      </c>
      <c r="K153" s="295"/>
      <c r="L153" s="295"/>
      <c r="M153" s="295"/>
      <c r="N153" s="295"/>
      <c r="O153" s="295"/>
      <c r="P153" s="295"/>
      <c r="Q153" s="296"/>
      <c r="R153" s="227"/>
      <c r="S153" s="228">
        <f ca="1">IF(C153="",NA(),MATCH($B153&amp;$C153,'Smelter Reference List'!$J:$J,0))</f>
        <v>162</v>
      </c>
      <c r="T153" s="229"/>
      <c r="U153" s="229">
        <f t="shared" ca="1" si="6"/>
        <v>0</v>
      </c>
      <c r="V153" s="229"/>
      <c r="W153" s="229"/>
      <c r="Y153" s="223" t="str">
        <f t="shared" ca="1" si="7"/>
        <v>GoldRoyal Canadian Mint</v>
      </c>
    </row>
    <row r="154" spans="1:25" s="223" customFormat="1" ht="20.25">
      <c r="A154" s="291" t="s">
        <v>1378</v>
      </c>
      <c r="B154" s="292" t="str">
        <f ca="1">IF(LEN(A154)=0,"",INDEX('Smelter Reference List'!$A:$A,MATCH($A154,'Smelter Reference List'!$E:$E,0)))</f>
        <v>Tin</v>
      </c>
      <c r="C154" s="298" t="str">
        <f ca="1">IF(LEN(A154)=0,"",INDEX('Smelter Reference List'!$C:$C,MATCH($A154,'Smelter Reference List'!$E:$E,0)))</f>
        <v>Rui Da Hung</v>
      </c>
      <c r="D154" s="292" t="str">
        <f ca="1">IF(ISERROR($S154),"",OFFSET('Smelter Reference List'!$C$4,$S154-4,0)&amp;"")</f>
        <v>Rui Da Hung</v>
      </c>
      <c r="E154" s="292" t="str">
        <f ca="1">IF(ISERROR($S154),"",OFFSET('Smelter Reference List'!$D$4,$S154-4,0)&amp;"")</f>
        <v>TAIWAN, PROVINCE OF CHINA</v>
      </c>
      <c r="F154" s="292" t="str">
        <f ca="1">IF(ISERROR($S154),"",OFFSET('Smelter Reference List'!$E$4,$S154-4,0))</f>
        <v>CID001539</v>
      </c>
      <c r="G154" s="292" t="str">
        <f ca="1">IF(C154=$U$4,"Enter smelter details", IF(ISERROR($S154),"",OFFSET('Smelter Reference List'!$F$4,$S154-4,0)))</f>
        <v>CFSI</v>
      </c>
      <c r="H154" s="293">
        <f ca="1">IF(ISERROR($S154),"",OFFSET('Smelter Reference List'!$G$4,$S154-4,0))</f>
        <v>0</v>
      </c>
      <c r="I154" s="294" t="str">
        <f ca="1">IF(ISERROR($S154),"",OFFSET('Smelter Reference List'!$H$4,$S154-4,0))</f>
        <v>Longtan Shiang Taoyuang</v>
      </c>
      <c r="J154" s="294" t="str">
        <f ca="1">IF(ISERROR($S154),"",OFFSET('Smelter Reference List'!$I$4,$S154-4,0))</f>
        <v>Taiwan</v>
      </c>
      <c r="K154" s="295"/>
      <c r="L154" s="295"/>
      <c r="M154" s="295"/>
      <c r="N154" s="295"/>
      <c r="O154" s="295"/>
      <c r="P154" s="295"/>
      <c r="Q154" s="296"/>
      <c r="R154" s="227"/>
      <c r="S154" s="228">
        <f ca="1">IF(C154="",NA(),MATCH($B154&amp;$C154,'Smelter Reference List'!$J:$J,0))</f>
        <v>436</v>
      </c>
      <c r="T154" s="229"/>
      <c r="U154" s="229">
        <f t="shared" ca="1" si="6"/>
        <v>0</v>
      </c>
      <c r="V154" s="229"/>
      <c r="W154" s="229"/>
      <c r="Y154" s="223" t="str">
        <f t="shared" ca="1" si="7"/>
        <v>TinRui Da Hung</v>
      </c>
    </row>
    <row r="155" spans="1:25" s="223" customFormat="1" ht="20.25">
      <c r="A155" s="291" t="s">
        <v>1289</v>
      </c>
      <c r="B155" s="292" t="str">
        <f ca="1">IF(LEN(A155)=0,"",INDEX('Smelter Reference List'!$A:$A,MATCH($A155,'Smelter Reference List'!$E:$E,0)))</f>
        <v>Gold</v>
      </c>
      <c r="C155" s="298" t="str">
        <f ca="1">IF(LEN(A155)=0,"",INDEX('Smelter Reference List'!$C:$C,MATCH($A155,'Smelter Reference List'!$E:$E,0)))</f>
        <v>Sabin Metal Corp.</v>
      </c>
      <c r="D155" s="292" t="str">
        <f ca="1">IF(ISERROR($S155),"",OFFSET('Smelter Reference List'!$C$4,$S155-4,0)&amp;"")</f>
        <v>Sabin Metal Corp.</v>
      </c>
      <c r="E155" s="292" t="str">
        <f ca="1">IF(ISERROR($S155),"",OFFSET('Smelter Reference List'!$D$4,$S155-4,0)&amp;"")</f>
        <v>UNITED STATES OF AMERICA</v>
      </c>
      <c r="F155" s="292" t="str">
        <f ca="1">IF(ISERROR($S155),"",OFFSET('Smelter Reference List'!$E$4,$S155-4,0))</f>
        <v>CID001546</v>
      </c>
      <c r="G155" s="292" t="str">
        <f ca="1">IF(C155=$U$4,"Enter smelter details", IF(ISERROR($S155),"",OFFSET('Smelter Reference List'!$F$4,$S155-4,0)))</f>
        <v>CFSI</v>
      </c>
      <c r="H155" s="293">
        <f ca="1">IF(ISERROR($S155),"",OFFSET('Smelter Reference List'!$G$4,$S155-4,0))</f>
        <v>0</v>
      </c>
      <c r="I155" s="294" t="str">
        <f ca="1">IF(ISERROR($S155),"",OFFSET('Smelter Reference List'!$H$4,$S155-4,0))</f>
        <v>Williston</v>
      </c>
      <c r="J155" s="294" t="str">
        <f ca="1">IF(ISERROR($S155),"",OFFSET('Smelter Reference List'!$I$4,$S155-4,0))</f>
        <v>North Dakota</v>
      </c>
      <c r="K155" s="295"/>
      <c r="L155" s="295"/>
      <c r="M155" s="295"/>
      <c r="N155" s="295"/>
      <c r="O155" s="295"/>
      <c r="P155" s="295"/>
      <c r="Q155" s="296"/>
      <c r="R155" s="227"/>
      <c r="S155" s="228">
        <f ca="1">IF(C155="",NA(),MATCH($B155&amp;$C155,'Smelter Reference List'!$J:$J,0))</f>
        <v>164</v>
      </c>
      <c r="T155" s="229"/>
      <c r="U155" s="229">
        <f t="shared" ca="1" si="6"/>
        <v>0</v>
      </c>
      <c r="V155" s="229"/>
      <c r="W155" s="229"/>
      <c r="Y155" s="223" t="str">
        <f t="shared" ca="1" si="7"/>
        <v>GoldSabin Metal Corp.</v>
      </c>
    </row>
    <row r="156" spans="1:25" s="223" customFormat="1" ht="20.25">
      <c r="A156" s="291" t="s">
        <v>1290</v>
      </c>
      <c r="B156" s="292" t="str">
        <f ca="1">IF(LEN(A156)=0,"",INDEX('Smelter Reference List'!$A:$A,MATCH($A156,'Smelter Reference List'!$E:$E,0)))</f>
        <v>Gold</v>
      </c>
      <c r="C156" s="298" t="str">
        <f ca="1">IF(LEN(A156)=0,"",INDEX('Smelter Reference List'!$C:$C,MATCH($A156,'Smelter Reference List'!$E:$E,0)))</f>
        <v>Samwon Metals Corp.</v>
      </c>
      <c r="D156" s="292" t="str">
        <f ca="1">IF(ISERROR($S156),"",OFFSET('Smelter Reference List'!$C$4,$S156-4,0)&amp;"")</f>
        <v>Samwon Metals Corp.</v>
      </c>
      <c r="E156" s="292" t="str">
        <f ca="1">IF(ISERROR($S156),"",OFFSET('Smelter Reference List'!$D$4,$S156-4,0)&amp;"")</f>
        <v>KOREA (REPUBLIC OF)</v>
      </c>
      <c r="F156" s="292" t="str">
        <f ca="1">IF(ISERROR($S156),"",OFFSET('Smelter Reference List'!$E$4,$S156-4,0))</f>
        <v>CID001562</v>
      </c>
      <c r="G156" s="292" t="str">
        <f ca="1">IF(C156=$U$4,"Enter smelter details", IF(ISERROR($S156),"",OFFSET('Smelter Reference List'!$F$4,$S156-4,0)))</f>
        <v>CFSI</v>
      </c>
      <c r="H156" s="293">
        <f ca="1">IF(ISERROR($S156),"",OFFSET('Smelter Reference List'!$G$4,$S156-4,0))</f>
        <v>0</v>
      </c>
      <c r="I156" s="294" t="str">
        <f ca="1">IF(ISERROR($S156),"",OFFSET('Smelter Reference List'!$H$4,$S156-4,0))</f>
        <v>Changwon</v>
      </c>
      <c r="J156" s="294" t="str">
        <f ca="1">IF(ISERROR($S156),"",OFFSET('Smelter Reference List'!$I$4,$S156-4,0))</f>
        <v>Gyeongsangnam</v>
      </c>
      <c r="K156" s="295"/>
      <c r="L156" s="295"/>
      <c r="M156" s="295"/>
      <c r="N156" s="295"/>
      <c r="O156" s="295"/>
      <c r="P156" s="295"/>
      <c r="Q156" s="296"/>
      <c r="R156" s="227"/>
      <c r="S156" s="228">
        <f ca="1">IF(C156="",NA(),MATCH($B156&amp;$C156,'Smelter Reference List'!$J:$J,0))</f>
        <v>170</v>
      </c>
      <c r="T156" s="229"/>
      <c r="U156" s="229">
        <f t="shared" ca="1" si="6"/>
        <v>0</v>
      </c>
      <c r="V156" s="229"/>
      <c r="W156" s="229"/>
      <c r="Y156" s="223" t="str">
        <f t="shared" ca="1" si="7"/>
        <v>GoldSamwon Metals Corp.</v>
      </c>
    </row>
    <row r="157" spans="1:25" s="223" customFormat="1" ht="20.25">
      <c r="A157" s="291" t="s">
        <v>1291</v>
      </c>
      <c r="B157" s="292" t="str">
        <f ca="1">IF(LEN(A157)=0,"",INDEX('Smelter Reference List'!$A:$A,MATCH($A157,'Smelter Reference List'!$E:$E,0)))</f>
        <v>Gold</v>
      </c>
      <c r="C157" s="298" t="str">
        <f ca="1">IF(LEN(A157)=0,"",INDEX('Smelter Reference List'!$C:$C,MATCH($A157,'Smelter Reference List'!$E:$E,0)))</f>
        <v>Schone Edelmetaal B.V.</v>
      </c>
      <c r="D157" s="292" t="str">
        <f ca="1">IF(ISERROR($S157),"",OFFSET('Smelter Reference List'!$C$4,$S157-4,0)&amp;"")</f>
        <v>Schone Edelmetaal B.V.</v>
      </c>
      <c r="E157" s="292" t="str">
        <f ca="1">IF(ISERROR($S157),"",OFFSET('Smelter Reference List'!$D$4,$S157-4,0)&amp;"")</f>
        <v>NETHERLANDS</v>
      </c>
      <c r="F157" s="292" t="str">
        <f ca="1">IF(ISERROR($S157),"",OFFSET('Smelter Reference List'!$E$4,$S157-4,0))</f>
        <v>CID001573</v>
      </c>
      <c r="G157" s="292" t="str">
        <f ca="1">IF(C157=$U$4,"Enter smelter details", IF(ISERROR($S157),"",OFFSET('Smelter Reference List'!$F$4,$S157-4,0)))</f>
        <v>CFSI</v>
      </c>
      <c r="H157" s="293">
        <f ca="1">IF(ISERROR($S157),"",OFFSET('Smelter Reference List'!$G$4,$S157-4,0))</f>
        <v>0</v>
      </c>
      <c r="I157" s="294" t="str">
        <f ca="1">IF(ISERROR($S157),"",OFFSET('Smelter Reference List'!$H$4,$S157-4,0))</f>
        <v>Amsterdam</v>
      </c>
      <c r="J157" s="294" t="str">
        <f ca="1">IF(ISERROR($S157),"",OFFSET('Smelter Reference List'!$I$4,$S157-4,0))</f>
        <v>North Holland</v>
      </c>
      <c r="K157" s="295"/>
      <c r="L157" s="295"/>
      <c r="M157" s="295"/>
      <c r="N157" s="295"/>
      <c r="O157" s="295"/>
      <c r="P157" s="295"/>
      <c r="Q157" s="296"/>
      <c r="R157" s="227"/>
      <c r="S157" s="228">
        <f ca="1">IF(C157="",NA(),MATCH($B157&amp;$C157,'Smelter Reference List'!$J:$J,0))</f>
        <v>172</v>
      </c>
      <c r="T157" s="229"/>
      <c r="U157" s="229">
        <f t="shared" ca="1" si="6"/>
        <v>0</v>
      </c>
      <c r="V157" s="229"/>
      <c r="W157" s="229"/>
      <c r="Y157" s="223" t="str">
        <f t="shared" ca="1" si="7"/>
        <v>GoldSchone Edelmetaal B.V.</v>
      </c>
    </row>
    <row r="158" spans="1:25" s="223" customFormat="1" ht="20.25">
      <c r="A158" s="291" t="s">
        <v>1292</v>
      </c>
      <c r="B158" s="292" t="str">
        <f ca="1">IF(LEN(A158)=0,"",INDEX('Smelter Reference List'!$A:$A,MATCH($A158,'Smelter Reference List'!$E:$E,0)))</f>
        <v>Gold</v>
      </c>
      <c r="C158" s="298" t="str">
        <f ca="1">IF(LEN(A158)=0,"",INDEX('Smelter Reference List'!$C:$C,MATCH($A158,'Smelter Reference List'!$E:$E,0)))</f>
        <v>SEMPSA Joyería Platería S.A.</v>
      </c>
      <c r="D158" s="292" t="str">
        <f ca="1">IF(ISERROR($S158),"",OFFSET('Smelter Reference List'!$C$4,$S158-4,0)&amp;"")</f>
        <v>SEMPSA Joyería Platería S.A.</v>
      </c>
      <c r="E158" s="292" t="str">
        <f ca="1">IF(ISERROR($S158),"",OFFSET('Smelter Reference List'!$D$4,$S158-4,0)&amp;"")</f>
        <v>SPAIN</v>
      </c>
      <c r="F158" s="292" t="str">
        <f ca="1">IF(ISERROR($S158),"",OFFSET('Smelter Reference List'!$E$4,$S158-4,0))</f>
        <v>CID001585</v>
      </c>
      <c r="G158" s="292" t="str">
        <f ca="1">IF(C158=$U$4,"Enter smelter details", IF(ISERROR($S158),"",OFFSET('Smelter Reference List'!$F$4,$S158-4,0)))</f>
        <v>CFSI</v>
      </c>
      <c r="H158" s="293">
        <f ca="1">IF(ISERROR($S158),"",OFFSET('Smelter Reference List'!$G$4,$S158-4,0))</f>
        <v>0</v>
      </c>
      <c r="I158" s="294" t="str">
        <f ca="1">IF(ISERROR($S158),"",OFFSET('Smelter Reference List'!$H$4,$S158-4,0))</f>
        <v>Madrid</v>
      </c>
      <c r="J158" s="294" t="str">
        <f ca="1">IF(ISERROR($S158),"",OFFSET('Smelter Reference List'!$I$4,$S158-4,0))</f>
        <v>Community of Madrid</v>
      </c>
      <c r="K158" s="295"/>
      <c r="L158" s="295"/>
      <c r="M158" s="295"/>
      <c r="N158" s="295"/>
      <c r="O158" s="295"/>
      <c r="P158" s="295"/>
      <c r="Q158" s="296"/>
      <c r="R158" s="227"/>
      <c r="S158" s="228">
        <f ca="1">IF(C158="",NA(),MATCH($B158&amp;$C158,'Smelter Reference List'!$J:$J,0))</f>
        <v>174</v>
      </c>
      <c r="T158" s="229"/>
      <c r="U158" s="229">
        <f t="shared" ca="1" si="6"/>
        <v>0</v>
      </c>
      <c r="V158" s="229"/>
      <c r="W158" s="229"/>
      <c r="Y158" s="223" t="str">
        <f t="shared" ca="1" si="7"/>
        <v>GoldSEMPSA Joyería Platería S.A.</v>
      </c>
    </row>
    <row r="159" spans="1:25" s="223" customFormat="1" ht="20.25">
      <c r="A159" s="291" t="s">
        <v>1293</v>
      </c>
      <c r="B159" s="292" t="str">
        <f ca="1">IF(LEN(A159)=0,"",INDEX('Smelter Reference List'!$A:$A,MATCH($A159,'Smelter Reference List'!$E:$E,0)))</f>
        <v>Gold</v>
      </c>
      <c r="C159" s="298" t="str">
        <f ca="1">IF(LEN(A159)=0,"",INDEX('Smelter Reference List'!$C:$C,MATCH($A159,'Smelter Reference List'!$E:$E,0)))</f>
        <v>Shandong Zhaojin Gold &amp; Silver Refinery Co., Ltd.</v>
      </c>
      <c r="D159" s="292" t="str">
        <f ca="1">IF(ISERROR($S159),"",OFFSET('Smelter Reference List'!$C$4,$S159-4,0)&amp;"")</f>
        <v>Shandong Zhaojin Gold &amp; Silver Refinery Co., Ltd.</v>
      </c>
      <c r="E159" s="292" t="str">
        <f ca="1">IF(ISERROR($S159),"",OFFSET('Smelter Reference List'!$D$4,$S159-4,0)&amp;"")</f>
        <v>CHINA</v>
      </c>
      <c r="F159" s="292" t="str">
        <f ca="1">IF(ISERROR($S159),"",OFFSET('Smelter Reference List'!$E$4,$S159-4,0))</f>
        <v>CID001622</v>
      </c>
      <c r="G159" s="292" t="str">
        <f ca="1">IF(C159=$U$4,"Enter smelter details", IF(ISERROR($S159),"",OFFSET('Smelter Reference List'!$F$4,$S159-4,0)))</f>
        <v>CFSI</v>
      </c>
      <c r="H159" s="293">
        <f ca="1">IF(ISERROR($S159),"",OFFSET('Smelter Reference List'!$G$4,$S159-4,0))</f>
        <v>0</v>
      </c>
      <c r="I159" s="294" t="str">
        <f ca="1">IF(ISERROR($S159),"",OFFSET('Smelter Reference List'!$H$4,$S159-4,0))</f>
        <v>Zhaoyuan</v>
      </c>
      <c r="J159" s="294" t="str">
        <f ca="1">IF(ISERROR($S159),"",OFFSET('Smelter Reference List'!$I$4,$S159-4,0))</f>
        <v>Shandong</v>
      </c>
      <c r="K159" s="295"/>
      <c r="L159" s="295"/>
      <c r="M159" s="295"/>
      <c r="N159" s="295"/>
      <c r="O159" s="295"/>
      <c r="P159" s="295"/>
      <c r="Q159" s="296"/>
      <c r="R159" s="227"/>
      <c r="S159" s="228">
        <f ca="1">IF(C159="",NA(),MATCH($B159&amp;$C159,'Smelter Reference List'!$J:$J,0))</f>
        <v>180</v>
      </c>
      <c r="T159" s="229"/>
      <c r="U159" s="229">
        <f t="shared" ca="1" si="6"/>
        <v>0</v>
      </c>
      <c r="V159" s="229"/>
      <c r="W159" s="229"/>
      <c r="Y159" s="223" t="str">
        <f t="shared" ca="1" si="7"/>
        <v>GoldShandong Zhaojin Gold &amp; Silver Refinery Co., Ltd.</v>
      </c>
    </row>
    <row r="160" spans="1:25" s="223" customFormat="1" ht="20.25">
      <c r="A160" s="291" t="s">
        <v>2646</v>
      </c>
      <c r="B160" s="292" t="str">
        <f ca="1">IF(LEN(A160)=0,"",INDEX('Smelter Reference List'!$A:$A,MATCH($A160,'Smelter Reference List'!$E:$E,0)))</f>
        <v>Gold</v>
      </c>
      <c r="C160" s="298" t="str">
        <f ca="1">IF(LEN(A160)=0,"",INDEX('Smelter Reference List'!$C:$C,MATCH($A160,'Smelter Reference List'!$E:$E,0)))</f>
        <v>Sichuan Tianze Precious Metals Co., Ltd.</v>
      </c>
      <c r="D160" s="292" t="str">
        <f ca="1">IF(ISERROR($S160),"",OFFSET('Smelter Reference List'!$C$4,$S160-4,0)&amp;"")</f>
        <v>Sichuan Tianze Precious Metals Co., Ltd.</v>
      </c>
      <c r="E160" s="292" t="str">
        <f ca="1">IF(ISERROR($S160),"",OFFSET('Smelter Reference List'!$D$4,$S160-4,0)&amp;"")</f>
        <v>CHINA</v>
      </c>
      <c r="F160" s="292" t="str">
        <f ca="1">IF(ISERROR($S160),"",OFFSET('Smelter Reference List'!$E$4,$S160-4,0))</f>
        <v>CID001736</v>
      </c>
      <c r="G160" s="292" t="str">
        <f ca="1">IF(C160=$U$4,"Enter smelter details", IF(ISERROR($S160),"",OFFSET('Smelter Reference List'!$F$4,$S160-4,0)))</f>
        <v>CFSI</v>
      </c>
      <c r="H160" s="293">
        <f ca="1">IF(ISERROR($S160),"",OFFSET('Smelter Reference List'!$G$4,$S160-4,0))</f>
        <v>0</v>
      </c>
      <c r="I160" s="294" t="str">
        <f ca="1">IF(ISERROR($S160),"",OFFSET('Smelter Reference List'!$H$4,$S160-4,0))</f>
        <v>Chengdu</v>
      </c>
      <c r="J160" s="294" t="str">
        <f ca="1">IF(ISERROR($S160),"",OFFSET('Smelter Reference List'!$I$4,$S160-4,0))</f>
        <v>Sichuan</v>
      </c>
      <c r="K160" s="295"/>
      <c r="L160" s="295"/>
      <c r="M160" s="295"/>
      <c r="N160" s="295"/>
      <c r="O160" s="295"/>
      <c r="P160" s="295"/>
      <c r="Q160" s="296"/>
      <c r="R160" s="227"/>
      <c r="S160" s="228">
        <f ca="1">IF(C160="",NA(),MATCH($B160&amp;$C160,'Smelter Reference List'!$J:$J,0))</f>
        <v>183</v>
      </c>
      <c r="T160" s="229"/>
      <c r="U160" s="229">
        <f t="shared" ca="1" si="6"/>
        <v>0</v>
      </c>
      <c r="V160" s="229"/>
      <c r="W160" s="229"/>
      <c r="Y160" s="223" t="str">
        <f t="shared" ca="1" si="7"/>
        <v>GoldSichuan Tianze Precious Metals Co., Ltd.</v>
      </c>
    </row>
    <row r="161" spans="1:25" s="223" customFormat="1" ht="20.25">
      <c r="A161" s="291" t="s">
        <v>1295</v>
      </c>
      <c r="B161" s="292" t="str">
        <f ca="1">IF(LEN(A161)=0,"",INDEX('Smelter Reference List'!$A:$A,MATCH($A161,'Smelter Reference List'!$E:$E,0)))</f>
        <v>Gold</v>
      </c>
      <c r="C161" s="298" t="str">
        <f ca="1">IF(LEN(A161)=0,"",INDEX('Smelter Reference List'!$C:$C,MATCH($A161,'Smelter Reference List'!$E:$E,0)))</f>
        <v>So Accurate Group, Inc.</v>
      </c>
      <c r="D161" s="292" t="str">
        <f ca="1">IF(ISERROR($S161),"",OFFSET('Smelter Reference List'!$C$4,$S161-4,0)&amp;"")</f>
        <v>So Accurate Group, Inc.</v>
      </c>
      <c r="E161" s="292" t="str">
        <f ca="1">IF(ISERROR($S161),"",OFFSET('Smelter Reference List'!$D$4,$S161-4,0)&amp;"")</f>
        <v>UNITED STATES OF AMERICA</v>
      </c>
      <c r="F161" s="292" t="str">
        <f ca="1">IF(ISERROR($S161),"",OFFSET('Smelter Reference List'!$E$4,$S161-4,0))</f>
        <v>CID001754</v>
      </c>
      <c r="G161" s="292" t="str">
        <f ca="1">IF(C161=$U$4,"Enter smelter details", IF(ISERROR($S161),"",OFFSET('Smelter Reference List'!$F$4,$S161-4,0)))</f>
        <v>CFSI</v>
      </c>
      <c r="H161" s="293">
        <f ca="1">IF(ISERROR($S161),"",OFFSET('Smelter Reference List'!$G$4,$S161-4,0))</f>
        <v>0</v>
      </c>
      <c r="I161" s="294" t="str">
        <f ca="1">IF(ISERROR($S161),"",OFFSET('Smelter Reference List'!$H$4,$S161-4,0))</f>
        <v>Long Island City</v>
      </c>
      <c r="J161" s="294" t="str">
        <f ca="1">IF(ISERROR($S161),"",OFFSET('Smelter Reference List'!$I$4,$S161-4,0))</f>
        <v>New York</v>
      </c>
      <c r="K161" s="295"/>
      <c r="L161" s="295"/>
      <c r="M161" s="295"/>
      <c r="N161" s="295"/>
      <c r="O161" s="295"/>
      <c r="P161" s="295"/>
      <c r="Q161" s="296"/>
      <c r="R161" s="227"/>
      <c r="S161" s="228">
        <f ca="1">IF(C161="",NA(),MATCH($B161&amp;$C161,'Smelter Reference List'!$J:$J,0))</f>
        <v>187</v>
      </c>
      <c r="T161" s="229"/>
      <c r="U161" s="229">
        <f t="shared" ca="1" si="6"/>
        <v>0</v>
      </c>
      <c r="V161" s="229"/>
      <c r="W161" s="229"/>
      <c r="Y161" s="223" t="str">
        <f t="shared" ca="1" si="7"/>
        <v>GoldSo Accurate Group, Inc.</v>
      </c>
    </row>
    <row r="162" spans="1:25" s="223" customFormat="1" ht="20.25">
      <c r="A162" s="291" t="s">
        <v>1296</v>
      </c>
      <c r="B162" s="292" t="str">
        <f ca="1">IF(LEN(A162)=0,"",INDEX('Smelter Reference List'!$A:$A,MATCH($A162,'Smelter Reference List'!$E:$E,0)))</f>
        <v>Gold</v>
      </c>
      <c r="C162" s="298" t="str">
        <f ca="1">IF(LEN(A162)=0,"",INDEX('Smelter Reference List'!$C:$C,MATCH($A162,'Smelter Reference List'!$E:$E,0)))</f>
        <v>SOE Shyolkovsky Factory of Secondary Precious Metals</v>
      </c>
      <c r="D162" s="292" t="str">
        <f ca="1">IF(ISERROR($S162),"",OFFSET('Smelter Reference List'!$C$4,$S162-4,0)&amp;"")</f>
        <v>SOE Shyolkovsky Factory of Secondary Precious Metals</v>
      </c>
      <c r="E162" s="292" t="str">
        <f ca="1">IF(ISERROR($S162),"",OFFSET('Smelter Reference List'!$D$4,$S162-4,0)&amp;"")</f>
        <v>RUSSIAN FEDERATION</v>
      </c>
      <c r="F162" s="292" t="str">
        <f ca="1">IF(ISERROR($S162),"",OFFSET('Smelter Reference List'!$E$4,$S162-4,0))</f>
        <v>CID001756</v>
      </c>
      <c r="G162" s="292" t="str">
        <f ca="1">IF(C162=$U$4,"Enter smelter details", IF(ISERROR($S162),"",OFFSET('Smelter Reference List'!$F$4,$S162-4,0)))</f>
        <v>CFSI</v>
      </c>
      <c r="H162" s="293">
        <f ca="1">IF(ISERROR($S162),"",OFFSET('Smelter Reference List'!$G$4,$S162-4,0))</f>
        <v>0</v>
      </c>
      <c r="I162" s="294" t="str">
        <f ca="1">IF(ISERROR($S162),"",OFFSET('Smelter Reference List'!$H$4,$S162-4,0))</f>
        <v>Shyolkovo</v>
      </c>
      <c r="J162" s="294" t="str">
        <f ca="1">IF(ISERROR($S162),"",OFFSET('Smelter Reference List'!$I$4,$S162-4,0))</f>
        <v>Moscow Region</v>
      </c>
      <c r="K162" s="295"/>
      <c r="L162" s="295"/>
      <c r="M162" s="295"/>
      <c r="N162" s="295"/>
      <c r="O162" s="295"/>
      <c r="P162" s="295"/>
      <c r="Q162" s="296"/>
      <c r="R162" s="227"/>
      <c r="S162" s="228">
        <f ca="1">IF(C162="",NA(),MATCH($B162&amp;$C162,'Smelter Reference List'!$J:$J,0))</f>
        <v>188</v>
      </c>
      <c r="T162" s="229"/>
      <c r="U162" s="229">
        <f t="shared" ca="1" si="6"/>
        <v>0</v>
      </c>
      <c r="V162" s="229"/>
      <c r="W162" s="229"/>
      <c r="Y162" s="223" t="str">
        <f t="shared" ca="1" si="7"/>
        <v>GoldSOE Shyolkovsky Factory of Secondary Precious Metals</v>
      </c>
    </row>
    <row r="163" spans="1:25" s="223" customFormat="1" ht="20.25">
      <c r="A163" s="291" t="s">
        <v>1379</v>
      </c>
      <c r="B163" s="292" t="str">
        <f ca="1">IF(LEN(A163)=0,"",INDEX('Smelter Reference List'!$A:$A,MATCH($A163,'Smelter Reference List'!$E:$E,0)))</f>
        <v>Tin</v>
      </c>
      <c r="C163" s="298" t="str">
        <f ca="1">IF(LEN(A163)=0,"",INDEX('Smelter Reference List'!$C:$C,MATCH($A163,'Smelter Reference List'!$E:$E,0)))</f>
        <v>Soft Metais Ltda.</v>
      </c>
      <c r="D163" s="292" t="str">
        <f ca="1">IF(ISERROR($S163),"",OFFSET('Smelter Reference List'!$C$4,$S163-4,0)&amp;"")</f>
        <v>Soft Metais Ltda.</v>
      </c>
      <c r="E163" s="292" t="str">
        <f ca="1">IF(ISERROR($S163),"",OFFSET('Smelter Reference List'!$D$4,$S163-4,0)&amp;"")</f>
        <v>BRAZIL</v>
      </c>
      <c r="F163" s="292" t="str">
        <f ca="1">IF(ISERROR($S163),"",OFFSET('Smelter Reference List'!$E$4,$S163-4,0))</f>
        <v>CID001758</v>
      </c>
      <c r="G163" s="292" t="str">
        <f ca="1">IF(C163=$U$4,"Enter smelter details", IF(ISERROR($S163),"",OFFSET('Smelter Reference List'!$F$4,$S163-4,0)))</f>
        <v>CFSI</v>
      </c>
      <c r="H163" s="293">
        <f ca="1">IF(ISERROR($S163),"",OFFSET('Smelter Reference List'!$G$4,$S163-4,0))</f>
        <v>0</v>
      </c>
      <c r="I163" s="294" t="str">
        <f ca="1">IF(ISERROR($S163),"",OFFSET('Smelter Reference List'!$H$4,$S163-4,0))</f>
        <v>Bebedouro</v>
      </c>
      <c r="J163" s="294" t="str">
        <f ca="1">IF(ISERROR($S163),"",OFFSET('Smelter Reference List'!$I$4,$S163-4,0))</f>
        <v>São Paulo</v>
      </c>
      <c r="K163" s="295"/>
      <c r="L163" s="295"/>
      <c r="M163" s="295"/>
      <c r="N163" s="295"/>
      <c r="O163" s="295"/>
      <c r="P163" s="295"/>
      <c r="Q163" s="296"/>
      <c r="R163" s="227"/>
      <c r="S163" s="228">
        <f ca="1">IF(C163="",NA(),MATCH($B163&amp;$C163,'Smelter Reference List'!$J:$J,0))</f>
        <v>439</v>
      </c>
      <c r="T163" s="229"/>
      <c r="U163" s="229">
        <f t="shared" ca="1" si="6"/>
        <v>0</v>
      </c>
      <c r="V163" s="229"/>
      <c r="W163" s="229"/>
      <c r="Y163" s="223" t="str">
        <f t="shared" ca="1" si="7"/>
        <v>TinSoft Metais Ltda.</v>
      </c>
    </row>
    <row r="164" spans="1:25" s="223" customFormat="1" ht="20.25">
      <c r="A164" s="291" t="s">
        <v>1297</v>
      </c>
      <c r="B164" s="292" t="str">
        <f ca="1">IF(LEN(A164)=0,"",INDEX('Smelter Reference List'!$A:$A,MATCH($A164,'Smelter Reference List'!$E:$E,0)))</f>
        <v>Gold</v>
      </c>
      <c r="C164" s="298" t="str">
        <f ca="1">IF(LEN(A164)=0,"",INDEX('Smelter Reference List'!$C:$C,MATCH($A164,'Smelter Reference List'!$E:$E,0)))</f>
        <v>Solar Applied Materials Technology Corp.</v>
      </c>
      <c r="D164" s="292" t="str">
        <f ca="1">IF(ISERROR($S164),"",OFFSET('Smelter Reference List'!$C$4,$S164-4,0)&amp;"")</f>
        <v>Solar Applied Materials Technology Corp.</v>
      </c>
      <c r="E164" s="292" t="str">
        <f ca="1">IF(ISERROR($S164),"",OFFSET('Smelter Reference List'!$D$4,$S164-4,0)&amp;"")</f>
        <v>TAIWAN, PROVINCE OF CHINA</v>
      </c>
      <c r="F164" s="292" t="str">
        <f ca="1">IF(ISERROR($S164),"",OFFSET('Smelter Reference List'!$E$4,$S164-4,0))</f>
        <v>CID001761</v>
      </c>
      <c r="G164" s="292" t="str">
        <f ca="1">IF(C164=$U$4,"Enter smelter details", IF(ISERROR($S164),"",OFFSET('Smelter Reference List'!$F$4,$S164-4,0)))</f>
        <v>CFSI</v>
      </c>
      <c r="H164" s="293">
        <f ca="1">IF(ISERROR($S164),"",OFFSET('Smelter Reference List'!$G$4,$S164-4,0))</f>
        <v>0</v>
      </c>
      <c r="I164" s="294" t="str">
        <f ca="1">IF(ISERROR($S164),"",OFFSET('Smelter Reference List'!$H$4,$S164-4,0))</f>
        <v>Tainan City</v>
      </c>
      <c r="J164" s="294" t="str">
        <f ca="1">IF(ISERROR($S164),"",OFFSET('Smelter Reference List'!$I$4,$S164-4,0))</f>
        <v>Taiwan</v>
      </c>
      <c r="K164" s="295"/>
      <c r="L164" s="295"/>
      <c r="M164" s="295"/>
      <c r="N164" s="295"/>
      <c r="O164" s="295"/>
      <c r="P164" s="295"/>
      <c r="Q164" s="296"/>
      <c r="R164" s="227"/>
      <c r="S164" s="228">
        <f ca="1">IF(C164="",NA(),MATCH($B164&amp;$C164,'Smelter Reference List'!$J:$J,0))</f>
        <v>189</v>
      </c>
      <c r="T164" s="229"/>
      <c r="U164" s="229">
        <f t="shared" ca="1" si="6"/>
        <v>0</v>
      </c>
      <c r="V164" s="229"/>
      <c r="W164" s="229"/>
      <c r="Y164" s="223" t="str">
        <f t="shared" ca="1" si="7"/>
        <v>GoldSolar Applied Materials Technology Corp.</v>
      </c>
    </row>
    <row r="165" spans="1:25" s="223" customFormat="1" ht="20.25">
      <c r="A165" s="291" t="s">
        <v>1334</v>
      </c>
      <c r="B165" s="292" t="str">
        <f ca="1">IF(LEN(A165)=0,"",INDEX('Smelter Reference List'!$A:$A,MATCH($A165,'Smelter Reference List'!$E:$E,0)))</f>
        <v>Tantalum</v>
      </c>
      <c r="C165" s="298" t="str">
        <f ca="1">IF(LEN(A165)=0,"",INDEX('Smelter Reference List'!$C:$C,MATCH($A165,'Smelter Reference List'!$E:$E,0)))</f>
        <v>Solikamsk Magnesium Works OAO</v>
      </c>
      <c r="D165" s="292" t="str">
        <f ca="1">IF(ISERROR($S165),"",OFFSET('Smelter Reference List'!$C$4,$S165-4,0)&amp;"")</f>
        <v>Solikamsk Magnesium Works OAO</v>
      </c>
      <c r="E165" s="292" t="str">
        <f ca="1">IF(ISERROR($S165),"",OFFSET('Smelter Reference List'!$D$4,$S165-4,0)&amp;"")</f>
        <v>RUSSIAN FEDERATION</v>
      </c>
      <c r="F165" s="292" t="str">
        <f ca="1">IF(ISERROR($S165),"",OFFSET('Smelter Reference List'!$E$4,$S165-4,0))</f>
        <v>CID001769</v>
      </c>
      <c r="G165" s="292" t="str">
        <f ca="1">IF(C165=$U$4,"Enter smelter details", IF(ISERROR($S165),"",OFFSET('Smelter Reference List'!$F$4,$S165-4,0)))</f>
        <v>CFSI</v>
      </c>
      <c r="H165" s="293">
        <f ca="1">IF(ISERROR($S165),"",OFFSET('Smelter Reference List'!$G$4,$S165-4,0))</f>
        <v>0</v>
      </c>
      <c r="I165" s="294" t="str">
        <f ca="1">IF(ISERROR($S165),"",OFFSET('Smelter Reference List'!$H$4,$S165-4,0))</f>
        <v>Solikamsk</v>
      </c>
      <c r="J165" s="294" t="str">
        <f ca="1">IF(ISERROR($S165),"",OFFSET('Smelter Reference List'!$I$4,$S165-4,0))</f>
        <v>Perm Krai</v>
      </c>
      <c r="K165" s="295"/>
      <c r="L165" s="295"/>
      <c r="M165" s="295"/>
      <c r="N165" s="295"/>
      <c r="O165" s="295"/>
      <c r="P165" s="295"/>
      <c r="Q165" s="296"/>
      <c r="R165" s="227"/>
      <c r="S165" s="228">
        <f ca="1">IF(C165="",NA(),MATCH($B165&amp;$C165,'Smelter Reference List'!$J:$J,0))</f>
        <v>294</v>
      </c>
      <c r="T165" s="229"/>
      <c r="U165" s="229">
        <f t="shared" ca="1" si="6"/>
        <v>0</v>
      </c>
      <c r="V165" s="229"/>
      <c r="W165" s="229"/>
      <c r="Y165" s="223" t="str">
        <f t="shared" ca="1" si="7"/>
        <v>TantalumSolikamsk Magnesium Works OAO</v>
      </c>
    </row>
    <row r="166" spans="1:25" s="223" customFormat="1" ht="20.25">
      <c r="A166" s="291" t="s">
        <v>1298</v>
      </c>
      <c r="B166" s="292" t="str">
        <f ca="1">IF(LEN(A166)=0,"",INDEX('Smelter Reference List'!$A:$A,MATCH($A166,'Smelter Reference List'!$E:$E,0)))</f>
        <v>Gold</v>
      </c>
      <c r="C166" s="298" t="str">
        <f ca="1">IF(LEN(A166)=0,"",INDEX('Smelter Reference List'!$C:$C,MATCH($A166,'Smelter Reference List'!$E:$E,0)))</f>
        <v>Sumitomo Metal Mining Co., Ltd.</v>
      </c>
      <c r="D166" s="292" t="str">
        <f ca="1">IF(ISERROR($S166),"",OFFSET('Smelter Reference List'!$C$4,$S166-4,0)&amp;"")</f>
        <v>Sumitomo Metal Mining Co., Ltd.</v>
      </c>
      <c r="E166" s="292" t="str">
        <f ca="1">IF(ISERROR($S166),"",OFFSET('Smelter Reference List'!$D$4,$S166-4,0)&amp;"")</f>
        <v>JAPAN</v>
      </c>
      <c r="F166" s="292" t="str">
        <f ca="1">IF(ISERROR($S166),"",OFFSET('Smelter Reference List'!$E$4,$S166-4,0))</f>
        <v>CID001798</v>
      </c>
      <c r="G166" s="292" t="str">
        <f ca="1">IF(C166=$U$4,"Enter smelter details", IF(ISERROR($S166),"",OFFSET('Smelter Reference List'!$F$4,$S166-4,0)))</f>
        <v>CFSI</v>
      </c>
      <c r="H166" s="293">
        <f ca="1">IF(ISERROR($S166),"",OFFSET('Smelter Reference List'!$G$4,$S166-4,0))</f>
        <v>0</v>
      </c>
      <c r="I166" s="294" t="str">
        <f ca="1">IF(ISERROR($S166),"",OFFSET('Smelter Reference List'!$H$4,$S166-4,0))</f>
        <v>Saijo</v>
      </c>
      <c r="J166" s="294" t="str">
        <f ca="1">IF(ISERROR($S166),"",OFFSET('Smelter Reference List'!$I$4,$S166-4,0))</f>
        <v>Ehime</v>
      </c>
      <c r="K166" s="295"/>
      <c r="L166" s="295"/>
      <c r="M166" s="295"/>
      <c r="N166" s="295"/>
      <c r="O166" s="295"/>
      <c r="P166" s="295"/>
      <c r="Q166" s="296"/>
      <c r="R166" s="227"/>
      <c r="S166" s="228">
        <f ca="1">IF(C166="",NA(),MATCH($B166&amp;$C166,'Smelter Reference List'!$J:$J,0))</f>
        <v>194</v>
      </c>
      <c r="T166" s="229"/>
      <c r="U166" s="229">
        <f t="shared" ca="1" si="6"/>
        <v>0</v>
      </c>
      <c r="V166" s="229"/>
      <c r="W166" s="229"/>
      <c r="Y166" s="223" t="str">
        <f t="shared" ca="1" si="7"/>
        <v>GoldSumitomo Metal Mining Co., Ltd.</v>
      </c>
    </row>
    <row r="167" spans="1:25" s="223" customFormat="1" ht="20.25">
      <c r="A167" s="291" t="s">
        <v>1335</v>
      </c>
      <c r="B167" s="292" t="str">
        <f ca="1">IF(LEN(A167)=0,"",INDEX('Smelter Reference List'!$A:$A,MATCH($A167,'Smelter Reference List'!$E:$E,0)))</f>
        <v>Tantalum</v>
      </c>
      <c r="C167" s="298" t="str">
        <f ca="1">IF(LEN(A167)=0,"",INDEX('Smelter Reference List'!$C:$C,MATCH($A167,'Smelter Reference List'!$E:$E,0)))</f>
        <v>Taki Chemical Co., Ltd.</v>
      </c>
      <c r="D167" s="292" t="str">
        <f ca="1">IF(ISERROR($S167),"",OFFSET('Smelter Reference List'!$C$4,$S167-4,0)&amp;"")</f>
        <v>Taki Chemical Co., Ltd.</v>
      </c>
      <c r="E167" s="292" t="str">
        <f ca="1">IF(ISERROR($S167),"",OFFSET('Smelter Reference List'!$D$4,$S167-4,0)&amp;"")</f>
        <v>JAPAN</v>
      </c>
      <c r="F167" s="292" t="str">
        <f ca="1">IF(ISERROR($S167),"",OFFSET('Smelter Reference List'!$E$4,$S167-4,0))</f>
        <v>CID001869</v>
      </c>
      <c r="G167" s="292" t="str">
        <f ca="1">IF(C167=$U$4,"Enter smelter details", IF(ISERROR($S167),"",OFFSET('Smelter Reference List'!$F$4,$S167-4,0)))</f>
        <v>CFSI</v>
      </c>
      <c r="H167" s="293">
        <f ca="1">IF(ISERROR($S167),"",OFFSET('Smelter Reference List'!$G$4,$S167-4,0))</f>
        <v>0</v>
      </c>
      <c r="I167" s="294" t="str">
        <f ca="1">IF(ISERROR($S167),"",OFFSET('Smelter Reference List'!$H$4,$S167-4,0))</f>
        <v>Harima</v>
      </c>
      <c r="J167" s="294" t="str">
        <f ca="1">IF(ISERROR($S167),"",OFFSET('Smelter Reference List'!$I$4,$S167-4,0))</f>
        <v>Hyogo</v>
      </c>
      <c r="K167" s="295"/>
      <c r="L167" s="295"/>
      <c r="M167" s="295"/>
      <c r="N167" s="295"/>
      <c r="O167" s="295"/>
      <c r="P167" s="295"/>
      <c r="Q167" s="296"/>
      <c r="R167" s="227"/>
      <c r="S167" s="228">
        <f ca="1">IF(C167="",NA(),MATCH($B167&amp;$C167,'Smelter Reference List'!$J:$J,0))</f>
        <v>296</v>
      </c>
      <c r="T167" s="229"/>
      <c r="U167" s="229">
        <f t="shared" ca="1" si="6"/>
        <v>0</v>
      </c>
      <c r="V167" s="229"/>
      <c r="W167" s="229"/>
      <c r="Y167" s="223" t="str">
        <f t="shared" ca="1" si="7"/>
        <v>TantalumTaki Chemical Co., Ltd.</v>
      </c>
    </row>
    <row r="168" spans="1:25" s="223" customFormat="1" ht="20.25">
      <c r="A168" s="291" t="s">
        <v>1299</v>
      </c>
      <c r="B168" s="292" t="str">
        <f ca="1">IF(LEN(A168)=0,"",INDEX('Smelter Reference List'!$A:$A,MATCH($A168,'Smelter Reference List'!$E:$E,0)))</f>
        <v>Gold</v>
      </c>
      <c r="C168" s="298" t="str">
        <f ca="1">IF(LEN(A168)=0,"",INDEX('Smelter Reference List'!$C:$C,MATCH($A168,'Smelter Reference List'!$E:$E,0)))</f>
        <v>Tanaka Kikinzoku Kogyo K.K.</v>
      </c>
      <c r="D168" s="292" t="str">
        <f ca="1">IF(ISERROR($S168),"",OFFSET('Smelter Reference List'!$C$4,$S168-4,0)&amp;"")</f>
        <v>Tanaka Kikinzoku Kogyo K.K.</v>
      </c>
      <c r="E168" s="292" t="str">
        <f ca="1">IF(ISERROR($S168),"",OFFSET('Smelter Reference List'!$D$4,$S168-4,0)&amp;"")</f>
        <v>JAPAN</v>
      </c>
      <c r="F168" s="292" t="str">
        <f ca="1">IF(ISERROR($S168),"",OFFSET('Smelter Reference List'!$E$4,$S168-4,0))</f>
        <v>CID001875</v>
      </c>
      <c r="G168" s="292" t="str">
        <f ca="1">IF(C168=$U$4,"Enter smelter details", IF(ISERROR($S168),"",OFFSET('Smelter Reference List'!$F$4,$S168-4,0)))</f>
        <v>CFSI</v>
      </c>
      <c r="H168" s="293">
        <f ca="1">IF(ISERROR($S168),"",OFFSET('Smelter Reference List'!$G$4,$S168-4,0))</f>
        <v>0</v>
      </c>
      <c r="I168" s="294" t="str">
        <f ca="1">IF(ISERROR($S168),"",OFFSET('Smelter Reference List'!$H$4,$S168-4,0))</f>
        <v>Hiratsuka</v>
      </c>
      <c r="J168" s="294" t="str">
        <f ca="1">IF(ISERROR($S168),"",OFFSET('Smelter Reference List'!$I$4,$S168-4,0))</f>
        <v>Kanagawa</v>
      </c>
      <c r="K168" s="295"/>
      <c r="L168" s="295"/>
      <c r="M168" s="295"/>
      <c r="N168" s="295"/>
      <c r="O168" s="295"/>
      <c r="P168" s="295"/>
      <c r="Q168" s="296"/>
      <c r="R168" s="227"/>
      <c r="S168" s="228">
        <f ca="1">IF(C168="",NA(),MATCH($B168&amp;$C168,'Smelter Reference List'!$J:$J,0))</f>
        <v>205</v>
      </c>
      <c r="T168" s="229"/>
      <c r="U168" s="229">
        <f t="shared" ca="1" si="6"/>
        <v>0</v>
      </c>
      <c r="V168" s="229"/>
      <c r="W168" s="229"/>
      <c r="Y168" s="223" t="str">
        <f t="shared" ca="1" si="7"/>
        <v>GoldTanaka Kikinzoku Kogyo K.K.</v>
      </c>
    </row>
    <row r="169" spans="1:25" s="223" customFormat="1" ht="20.25">
      <c r="A169" s="291" t="s">
        <v>1396</v>
      </c>
      <c r="B169" s="292" t="str">
        <f ca="1">IF(LEN(A169)=0,"",INDEX('Smelter Reference List'!$A:$A,MATCH($A169,'Smelter Reference List'!$E:$E,0)))</f>
        <v>Tungsten</v>
      </c>
      <c r="C169" s="298" t="str">
        <f ca="1">IF(LEN(A169)=0,"",INDEX('Smelter Reference List'!$C:$C,MATCH($A169,'Smelter Reference List'!$E:$E,0)))</f>
        <v>Tejing (Vietnam) Tungsten Co., Ltd.</v>
      </c>
      <c r="D169" s="292" t="str">
        <f ca="1">IF(ISERROR($S169),"",OFFSET('Smelter Reference List'!$C$4,$S169-4,0)&amp;"")</f>
        <v>Tejing (Vietnam) Tungsten Co., Ltd.</v>
      </c>
      <c r="E169" s="292" t="str">
        <f ca="1">IF(ISERROR($S169),"",OFFSET('Smelter Reference List'!$D$4,$S169-4,0)&amp;"")</f>
        <v>VIET NAM</v>
      </c>
      <c r="F169" s="292" t="str">
        <f ca="1">IF(ISERROR($S169),"",OFFSET('Smelter Reference List'!$E$4,$S169-4,0))</f>
        <v>CID001889</v>
      </c>
      <c r="G169" s="292" t="str">
        <f ca="1">IF(C169=$U$4,"Enter smelter details", IF(ISERROR($S169),"",OFFSET('Smelter Reference List'!$F$4,$S169-4,0)))</f>
        <v>CFSI</v>
      </c>
      <c r="H169" s="293">
        <f ca="1">IF(ISERROR($S169),"",OFFSET('Smelter Reference List'!$G$4,$S169-4,0))</f>
        <v>0</v>
      </c>
      <c r="I169" s="294" t="str">
        <f ca="1">IF(ISERROR($S169),"",OFFSET('Smelter Reference List'!$H$4,$S169-4,0))</f>
        <v>Halong City</v>
      </c>
      <c r="J169" s="294" t="str">
        <f ca="1">IF(ISERROR($S169),"",OFFSET('Smelter Reference List'!$I$4,$S169-4,0))</f>
        <v>TayNinh</v>
      </c>
      <c r="K169" s="295"/>
      <c r="L169" s="295"/>
      <c r="M169" s="295"/>
      <c r="N169" s="295"/>
      <c r="O169" s="295"/>
      <c r="P169" s="295"/>
      <c r="Q169" s="296"/>
      <c r="R169" s="227"/>
      <c r="S169" s="228">
        <f ca="1">IF(C169="",NA(),MATCH($B169&amp;$C169,'Smelter Reference List'!$J:$J,0))</f>
        <v>516</v>
      </c>
      <c r="T169" s="229"/>
      <c r="U169" s="229">
        <f t="shared" ca="1" si="6"/>
        <v>0</v>
      </c>
      <c r="V169" s="229"/>
      <c r="W169" s="229"/>
      <c r="Y169" s="223" t="str">
        <f t="shared" ca="1" si="7"/>
        <v>TungstenTejing (Vietnam) Tungsten Co., Ltd.</v>
      </c>
    </row>
    <row r="170" spans="1:25" s="223" customFormat="1" ht="20.25">
      <c r="A170" s="291" t="s">
        <v>1336</v>
      </c>
      <c r="B170" s="292" t="str">
        <f ca="1">IF(LEN(A170)=0,"",INDEX('Smelter Reference List'!$A:$A,MATCH($A170,'Smelter Reference List'!$E:$E,0)))</f>
        <v>Tantalum</v>
      </c>
      <c r="C170" s="298" t="str">
        <f ca="1">IF(LEN(A170)=0,"",INDEX('Smelter Reference List'!$C:$C,MATCH($A170,'Smelter Reference List'!$E:$E,0)))</f>
        <v>Telex Metals</v>
      </c>
      <c r="D170" s="292" t="str">
        <f ca="1">IF(ISERROR($S170),"",OFFSET('Smelter Reference List'!$C$4,$S170-4,0)&amp;"")</f>
        <v>Telex Metals</v>
      </c>
      <c r="E170" s="292" t="str">
        <f ca="1">IF(ISERROR($S170),"",OFFSET('Smelter Reference List'!$D$4,$S170-4,0)&amp;"")</f>
        <v>UNITED STATES OF AMERICA</v>
      </c>
      <c r="F170" s="292" t="str">
        <f ca="1">IF(ISERROR($S170),"",OFFSET('Smelter Reference List'!$E$4,$S170-4,0))</f>
        <v>CID001891</v>
      </c>
      <c r="G170" s="292" t="str">
        <f ca="1">IF(C170=$U$4,"Enter smelter details", IF(ISERROR($S170),"",OFFSET('Smelter Reference List'!$F$4,$S170-4,0)))</f>
        <v>CFSI</v>
      </c>
      <c r="H170" s="293">
        <f ca="1">IF(ISERROR($S170),"",OFFSET('Smelter Reference List'!$G$4,$S170-4,0))</f>
        <v>0</v>
      </c>
      <c r="I170" s="294" t="str">
        <f ca="1">IF(ISERROR($S170),"",OFFSET('Smelter Reference List'!$H$4,$S170-4,0))</f>
        <v>Croydon</v>
      </c>
      <c r="J170" s="294" t="str">
        <f ca="1">IF(ISERROR($S170),"",OFFSET('Smelter Reference List'!$I$4,$S170-4,0))</f>
        <v>Pennsylvania</v>
      </c>
      <c r="K170" s="295"/>
      <c r="L170" s="295"/>
      <c r="M170" s="295"/>
      <c r="N170" s="295"/>
      <c r="O170" s="295"/>
      <c r="P170" s="295"/>
      <c r="Q170" s="296"/>
      <c r="R170" s="227"/>
      <c r="S170" s="228">
        <f ca="1">IF(C170="",NA(),MATCH($B170&amp;$C170,'Smelter Reference List'!$J:$J,0))</f>
        <v>298</v>
      </c>
      <c r="T170" s="229"/>
      <c r="U170" s="229">
        <f t="shared" ca="1" si="6"/>
        <v>0</v>
      </c>
      <c r="V170" s="229"/>
      <c r="W170" s="229"/>
      <c r="Y170" s="223" t="str">
        <f t="shared" ca="1" si="7"/>
        <v>TantalumTelex Metals</v>
      </c>
    </row>
    <row r="171" spans="1:25" s="223" customFormat="1" ht="20.25">
      <c r="A171" s="291" t="s">
        <v>1380</v>
      </c>
      <c r="B171" s="292" t="str">
        <f ca="1">IF(LEN(A171)=0,"",INDEX('Smelter Reference List'!$A:$A,MATCH($A171,'Smelter Reference List'!$E:$E,0)))</f>
        <v>Tin</v>
      </c>
      <c r="C171" s="298" t="str">
        <f ca="1">IF(LEN(A171)=0,"",INDEX('Smelter Reference List'!$C:$C,MATCH($A171,'Smelter Reference List'!$E:$E,0)))</f>
        <v>Thaisarco</v>
      </c>
      <c r="D171" s="292" t="str">
        <f ca="1">IF(ISERROR($S171),"",OFFSET('Smelter Reference List'!$C$4,$S171-4,0)&amp;"")</f>
        <v>Thaisarco</v>
      </c>
      <c r="E171" s="292" t="str">
        <f ca="1">IF(ISERROR($S171),"",OFFSET('Smelter Reference List'!$D$4,$S171-4,0)&amp;"")</f>
        <v>THAILAND</v>
      </c>
      <c r="F171" s="292" t="str">
        <f ca="1">IF(ISERROR($S171),"",OFFSET('Smelter Reference List'!$E$4,$S171-4,0))</f>
        <v>CID001898</v>
      </c>
      <c r="G171" s="292" t="str">
        <f ca="1">IF(C171=$U$4,"Enter smelter details", IF(ISERROR($S171),"",OFFSET('Smelter Reference List'!$F$4,$S171-4,0)))</f>
        <v>CFSI</v>
      </c>
      <c r="H171" s="293">
        <f ca="1">IF(ISERROR($S171),"",OFFSET('Smelter Reference List'!$G$4,$S171-4,0))</f>
        <v>0</v>
      </c>
      <c r="I171" s="294" t="str">
        <f ca="1">IF(ISERROR($S171),"",OFFSET('Smelter Reference List'!$H$4,$S171-4,0))</f>
        <v>Amphur Muang</v>
      </c>
      <c r="J171" s="294" t="str">
        <f ca="1">IF(ISERROR($S171),"",OFFSET('Smelter Reference List'!$I$4,$S171-4,0))</f>
        <v>Phuket</v>
      </c>
      <c r="K171" s="295"/>
      <c r="L171" s="295"/>
      <c r="M171" s="295"/>
      <c r="N171" s="295"/>
      <c r="O171" s="295"/>
      <c r="P171" s="295"/>
      <c r="Q171" s="296"/>
      <c r="R171" s="227"/>
      <c r="S171" s="228">
        <f ca="1">IF(C171="",NA(),MATCH($B171&amp;$C171,'Smelter Reference List'!$J:$J,0))</f>
        <v>442</v>
      </c>
      <c r="T171" s="229"/>
      <c r="U171" s="229">
        <f t="shared" ca="1" si="6"/>
        <v>0</v>
      </c>
      <c r="V171" s="229"/>
      <c r="W171" s="229"/>
      <c r="Y171" s="223" t="str">
        <f t="shared" ca="1" si="7"/>
        <v>TinThaisarco</v>
      </c>
    </row>
    <row r="172" spans="1:25" s="223" customFormat="1" ht="20.25">
      <c r="A172" s="291" t="s">
        <v>1300</v>
      </c>
      <c r="B172" s="292" t="str">
        <f ca="1">IF(LEN(A172)=0,"",INDEX('Smelter Reference List'!$A:$A,MATCH($A172,'Smelter Reference List'!$E:$E,0)))</f>
        <v>Gold</v>
      </c>
      <c r="C172" s="298" t="str">
        <f ca="1">IF(LEN(A172)=0,"",INDEX('Smelter Reference List'!$C:$C,MATCH($A172,'Smelter Reference List'!$E:$E,0)))</f>
        <v>Great Wall Precious Metals Co., Ltd. of CBPM</v>
      </c>
      <c r="D172" s="292" t="str">
        <f ca="1">IF(ISERROR($S172),"",OFFSET('Smelter Reference List'!$C$4,$S172-4,0)&amp;"")</f>
        <v>Great Wall Precious Metals Co., Ltd. of CBPM</v>
      </c>
      <c r="E172" s="292" t="str">
        <f ca="1">IF(ISERROR($S172),"",OFFSET('Smelter Reference List'!$D$4,$S172-4,0)&amp;"")</f>
        <v>CHINA</v>
      </c>
      <c r="F172" s="292" t="str">
        <f ca="1">IF(ISERROR($S172),"",OFFSET('Smelter Reference List'!$E$4,$S172-4,0))</f>
        <v>CID001909</v>
      </c>
      <c r="G172" s="292" t="str">
        <f ca="1">IF(C172=$U$4,"Enter smelter details", IF(ISERROR($S172),"",OFFSET('Smelter Reference List'!$F$4,$S172-4,0)))</f>
        <v>CFSI</v>
      </c>
      <c r="H172" s="293">
        <f ca="1">IF(ISERROR($S172),"",OFFSET('Smelter Reference List'!$G$4,$S172-4,0))</f>
        <v>0</v>
      </c>
      <c r="I172" s="294" t="str">
        <f ca="1">IF(ISERROR($S172),"",OFFSET('Smelter Reference List'!$H$4,$S172-4,0))</f>
        <v>Chengdu</v>
      </c>
      <c r="J172" s="294" t="str">
        <f ca="1">IF(ISERROR($S172),"",OFFSET('Smelter Reference List'!$I$4,$S172-4,0))</f>
        <v>Sichuan</v>
      </c>
      <c r="K172" s="295"/>
      <c r="L172" s="295"/>
      <c r="M172" s="295"/>
      <c r="N172" s="295"/>
      <c r="O172" s="295"/>
      <c r="P172" s="295"/>
      <c r="Q172" s="296"/>
      <c r="R172" s="227"/>
      <c r="S172" s="228">
        <f ca="1">IF(C172="",NA(),MATCH($B172&amp;$C172,'Smelter Reference List'!$J:$J,0))</f>
        <v>66</v>
      </c>
      <c r="T172" s="229"/>
      <c r="U172" s="229">
        <f t="shared" ca="1" si="6"/>
        <v>0</v>
      </c>
      <c r="V172" s="229"/>
      <c r="W172" s="229"/>
      <c r="Y172" s="223" t="str">
        <f t="shared" ca="1" si="7"/>
        <v>GoldGreat Wall Precious Metals Co., Ltd. of CBPM</v>
      </c>
    </row>
    <row r="173" spans="1:25" s="223" customFormat="1" ht="20.25">
      <c r="A173" s="291" t="s">
        <v>1301</v>
      </c>
      <c r="B173" s="292" t="str">
        <f ca="1">IF(LEN(A173)=0,"",INDEX('Smelter Reference List'!$A:$A,MATCH($A173,'Smelter Reference List'!$E:$E,0)))</f>
        <v>Gold</v>
      </c>
      <c r="C173" s="298" t="str">
        <f ca="1">IF(LEN(A173)=0,"",INDEX('Smelter Reference List'!$C:$C,MATCH($A173,'Smelter Reference List'!$E:$E,0)))</f>
        <v>The Refinery of Shandong Gold Mining Co., Ltd.</v>
      </c>
      <c r="D173" s="292" t="str">
        <f ca="1">IF(ISERROR($S173),"",OFFSET('Smelter Reference List'!$C$4,$S173-4,0)&amp;"")</f>
        <v>The Refinery of Shandong Gold Mining Co., Ltd.</v>
      </c>
      <c r="E173" s="292" t="str">
        <f ca="1">IF(ISERROR($S173),"",OFFSET('Smelter Reference List'!$D$4,$S173-4,0)&amp;"")</f>
        <v>CHINA</v>
      </c>
      <c r="F173" s="292" t="str">
        <f ca="1">IF(ISERROR($S173),"",OFFSET('Smelter Reference List'!$E$4,$S173-4,0))</f>
        <v>CID001916</v>
      </c>
      <c r="G173" s="292" t="str">
        <f ca="1">IF(C173=$U$4,"Enter smelter details", IF(ISERROR($S173),"",OFFSET('Smelter Reference List'!$F$4,$S173-4,0)))</f>
        <v>CFSI</v>
      </c>
      <c r="H173" s="293">
        <f ca="1">IF(ISERROR($S173),"",OFFSET('Smelter Reference List'!$G$4,$S173-4,0))</f>
        <v>0</v>
      </c>
      <c r="I173" s="294" t="str">
        <f ca="1">IF(ISERROR($S173),"",OFFSET('Smelter Reference List'!$H$4,$S173-4,0))</f>
        <v>Laizhou</v>
      </c>
      <c r="J173" s="294" t="str">
        <f ca="1">IF(ISERROR($S173),"",OFFSET('Smelter Reference List'!$I$4,$S173-4,0))</f>
        <v>Shandong</v>
      </c>
      <c r="K173" s="295"/>
      <c r="L173" s="295"/>
      <c r="M173" s="295"/>
      <c r="N173" s="295"/>
      <c r="O173" s="295"/>
      <c r="P173" s="295"/>
      <c r="Q173" s="296"/>
      <c r="R173" s="227"/>
      <c r="S173" s="228">
        <f ca="1">IF(C173="",NA(),MATCH($B173&amp;$C173,'Smelter Reference List'!$J:$J,0))</f>
        <v>209</v>
      </c>
      <c r="T173" s="229"/>
      <c r="U173" s="229">
        <f t="shared" ca="1" si="6"/>
        <v>0</v>
      </c>
      <c r="V173" s="229"/>
      <c r="W173" s="229"/>
      <c r="Y173" s="223" t="str">
        <f t="shared" ca="1" si="7"/>
        <v>GoldThe Refinery of Shandong Gold Mining Co., Ltd.</v>
      </c>
    </row>
    <row r="174" spans="1:25" s="223" customFormat="1" ht="20.25">
      <c r="A174" s="291" t="s">
        <v>1302</v>
      </c>
      <c r="B174" s="292" t="str">
        <f ca="1">IF(LEN(A174)=0,"",INDEX('Smelter Reference List'!$A:$A,MATCH($A174,'Smelter Reference List'!$E:$E,0)))</f>
        <v>Gold</v>
      </c>
      <c r="C174" s="298" t="str">
        <f ca="1">IF(LEN(A174)=0,"",INDEX('Smelter Reference List'!$C:$C,MATCH($A174,'Smelter Reference List'!$E:$E,0)))</f>
        <v>Tokuriki Honten Co., Ltd.</v>
      </c>
      <c r="D174" s="292" t="str">
        <f ca="1">IF(ISERROR($S174),"",OFFSET('Smelter Reference List'!$C$4,$S174-4,0)&amp;"")</f>
        <v>Tokuriki Honten Co., Ltd.</v>
      </c>
      <c r="E174" s="292" t="str">
        <f ca="1">IF(ISERROR($S174),"",OFFSET('Smelter Reference List'!$D$4,$S174-4,0)&amp;"")</f>
        <v>JAPAN</v>
      </c>
      <c r="F174" s="292" t="str">
        <f ca="1">IF(ISERROR($S174),"",OFFSET('Smelter Reference List'!$E$4,$S174-4,0))</f>
        <v>CID001938</v>
      </c>
      <c r="G174" s="292" t="str">
        <f ca="1">IF(C174=$U$4,"Enter smelter details", IF(ISERROR($S174),"",OFFSET('Smelter Reference List'!$F$4,$S174-4,0)))</f>
        <v>CFSI</v>
      </c>
      <c r="H174" s="293">
        <f ca="1">IF(ISERROR($S174),"",OFFSET('Smelter Reference List'!$G$4,$S174-4,0))</f>
        <v>0</v>
      </c>
      <c r="I174" s="294" t="str">
        <f ca="1">IF(ISERROR($S174),"",OFFSET('Smelter Reference List'!$H$4,$S174-4,0))</f>
        <v>Kuki</v>
      </c>
      <c r="J174" s="294" t="str">
        <f ca="1">IF(ISERROR($S174),"",OFFSET('Smelter Reference List'!$I$4,$S174-4,0))</f>
        <v>Saitama</v>
      </c>
      <c r="K174" s="295"/>
      <c r="L174" s="295"/>
      <c r="M174" s="295"/>
      <c r="N174" s="295"/>
      <c r="O174" s="295"/>
      <c r="P174" s="295"/>
      <c r="Q174" s="296"/>
      <c r="R174" s="227"/>
      <c r="S174" s="228">
        <f ca="1">IF(C174="",NA(),MATCH($B174&amp;$C174,'Smelter Reference List'!$J:$J,0))</f>
        <v>210</v>
      </c>
      <c r="T174" s="229"/>
      <c r="U174" s="229">
        <f t="shared" ca="1" si="6"/>
        <v>0</v>
      </c>
      <c r="V174" s="229"/>
      <c r="W174" s="229"/>
      <c r="Y174" s="223" t="str">
        <f t="shared" ca="1" si="7"/>
        <v>GoldTokuriki Honten Co., Ltd.</v>
      </c>
    </row>
    <row r="175" spans="1:25" s="223" customFormat="1" ht="20.25">
      <c r="A175" s="291" t="s">
        <v>1303</v>
      </c>
      <c r="B175" s="292" t="str">
        <f ca="1">IF(LEN(A175)=0,"",INDEX('Smelter Reference List'!$A:$A,MATCH($A175,'Smelter Reference List'!$E:$E,0)))</f>
        <v>Gold</v>
      </c>
      <c r="C175" s="298" t="str">
        <f ca="1">IF(LEN(A175)=0,"",INDEX('Smelter Reference List'!$C:$C,MATCH($A175,'Smelter Reference List'!$E:$E,0)))</f>
        <v>Tongling Nonferrous Metals Group Co., Ltd.</v>
      </c>
      <c r="D175" s="292" t="str">
        <f ca="1">IF(ISERROR($S175),"",OFFSET('Smelter Reference List'!$C$4,$S175-4,0)&amp;"")</f>
        <v>Tongling Nonferrous Metals Group Co., Ltd.</v>
      </c>
      <c r="E175" s="292" t="str">
        <f ca="1">IF(ISERROR($S175),"",OFFSET('Smelter Reference List'!$D$4,$S175-4,0)&amp;"")</f>
        <v>CHINA</v>
      </c>
      <c r="F175" s="292" t="str">
        <f ca="1">IF(ISERROR($S175),"",OFFSET('Smelter Reference List'!$E$4,$S175-4,0))</f>
        <v>CID001947</v>
      </c>
      <c r="G175" s="292" t="str">
        <f ca="1">IF(C175=$U$4,"Enter smelter details", IF(ISERROR($S175),"",OFFSET('Smelter Reference List'!$F$4,$S175-4,0)))</f>
        <v>CFSI</v>
      </c>
      <c r="H175" s="293">
        <f ca="1">IF(ISERROR($S175),"",OFFSET('Smelter Reference List'!$G$4,$S175-4,0))</f>
        <v>0</v>
      </c>
      <c r="I175" s="294" t="str">
        <f ca="1">IF(ISERROR($S175),"",OFFSET('Smelter Reference List'!$H$4,$S175-4,0))</f>
        <v>Tongling</v>
      </c>
      <c r="J175" s="294" t="str">
        <f ca="1">IF(ISERROR($S175),"",OFFSET('Smelter Reference List'!$I$4,$S175-4,0))</f>
        <v>Anhui</v>
      </c>
      <c r="K175" s="295"/>
      <c r="L175" s="295"/>
      <c r="M175" s="295"/>
      <c r="N175" s="295"/>
      <c r="O175" s="295"/>
      <c r="P175" s="295"/>
      <c r="Q175" s="296"/>
      <c r="R175" s="227"/>
      <c r="S175" s="228">
        <f ca="1">IF(C175="",NA(),MATCH($B175&amp;$C175,'Smelter Reference List'!$J:$J,0))</f>
        <v>211</v>
      </c>
      <c r="T175" s="229"/>
      <c r="U175" s="229">
        <f t="shared" ca="1" si="6"/>
        <v>0</v>
      </c>
      <c r="V175" s="229"/>
      <c r="W175" s="229"/>
      <c r="Y175" s="223" t="str">
        <f t="shared" ca="1" si="7"/>
        <v>GoldTongling Nonferrous Metals Group Co., Ltd.</v>
      </c>
    </row>
    <row r="176" spans="1:25" s="223" customFormat="1" ht="20.25">
      <c r="A176" s="291" t="s">
        <v>1304</v>
      </c>
      <c r="B176" s="292" t="str">
        <f ca="1">IF(LEN(A176)=0,"",INDEX('Smelter Reference List'!$A:$A,MATCH($A176,'Smelter Reference List'!$E:$E,0)))</f>
        <v>Gold</v>
      </c>
      <c r="C176" s="298" t="str">
        <f ca="1">IF(LEN(A176)=0,"",INDEX('Smelter Reference List'!$C:$C,MATCH($A176,'Smelter Reference List'!$E:$E,0)))</f>
        <v>Torecom</v>
      </c>
      <c r="D176" s="292" t="str">
        <f ca="1">IF(ISERROR($S176),"",OFFSET('Smelter Reference List'!$C$4,$S176-4,0)&amp;"")</f>
        <v>Torecom</v>
      </c>
      <c r="E176" s="292" t="str">
        <f ca="1">IF(ISERROR($S176),"",OFFSET('Smelter Reference List'!$D$4,$S176-4,0)&amp;"")</f>
        <v>KOREA (REPUBLIC OF)</v>
      </c>
      <c r="F176" s="292" t="str">
        <f ca="1">IF(ISERROR($S176),"",OFFSET('Smelter Reference List'!$E$4,$S176-4,0))</f>
        <v>CID001955</v>
      </c>
      <c r="G176" s="292" t="str">
        <f ca="1">IF(C176=$U$4,"Enter smelter details", IF(ISERROR($S176),"",OFFSET('Smelter Reference List'!$F$4,$S176-4,0)))</f>
        <v>CFSI</v>
      </c>
      <c r="H176" s="293">
        <f ca="1">IF(ISERROR($S176),"",OFFSET('Smelter Reference List'!$G$4,$S176-4,0))</f>
        <v>0</v>
      </c>
      <c r="I176" s="294" t="str">
        <f ca="1">IF(ISERROR($S176),"",OFFSET('Smelter Reference List'!$H$4,$S176-4,0))</f>
        <v>Asan</v>
      </c>
      <c r="J176" s="294" t="str">
        <f ca="1">IF(ISERROR($S176),"",OFFSET('Smelter Reference List'!$I$4,$S176-4,0))</f>
        <v>Chungcheong</v>
      </c>
      <c r="K176" s="295"/>
      <c r="L176" s="295"/>
      <c r="M176" s="295"/>
      <c r="N176" s="295"/>
      <c r="O176" s="295"/>
      <c r="P176" s="295"/>
      <c r="Q176" s="296"/>
      <c r="R176" s="227"/>
      <c r="S176" s="228">
        <f ca="1">IF(C176="",NA(),MATCH($B176&amp;$C176,'Smelter Reference List'!$J:$J,0))</f>
        <v>215</v>
      </c>
      <c r="T176" s="229"/>
      <c r="U176" s="229">
        <f t="shared" ca="1" si="6"/>
        <v>0</v>
      </c>
      <c r="V176" s="229"/>
      <c r="W176" s="229"/>
      <c r="Y176" s="223" t="str">
        <f t="shared" ca="1" si="7"/>
        <v>GoldTorecom</v>
      </c>
    </row>
    <row r="177" spans="1:25" s="223" customFormat="1" ht="20.25">
      <c r="A177" s="291" t="s">
        <v>1337</v>
      </c>
      <c r="B177" s="292" t="str">
        <f ca="1">IF(LEN(A177)=0,"",INDEX('Smelter Reference List'!$A:$A,MATCH($A177,'Smelter Reference List'!$E:$E,0)))</f>
        <v>Tantalum</v>
      </c>
      <c r="C177" s="298" t="str">
        <f ca="1">IF(LEN(A177)=0,"",INDEX('Smelter Reference List'!$C:$C,MATCH($A177,'Smelter Reference List'!$E:$E,0)))</f>
        <v>Ulba Metallurgical Plant JSC</v>
      </c>
      <c r="D177" s="292" t="str">
        <f ca="1">IF(ISERROR($S177),"",OFFSET('Smelter Reference List'!$C$4,$S177-4,0)&amp;"")</f>
        <v>Ulba Metallurgical Plant JSC</v>
      </c>
      <c r="E177" s="292" t="str">
        <f ca="1">IF(ISERROR($S177),"",OFFSET('Smelter Reference List'!$D$4,$S177-4,0)&amp;"")</f>
        <v>KAZAKHSTAN</v>
      </c>
      <c r="F177" s="292" t="str">
        <f ca="1">IF(ISERROR($S177),"",OFFSET('Smelter Reference List'!$E$4,$S177-4,0))</f>
        <v>CID001969</v>
      </c>
      <c r="G177" s="292" t="str">
        <f ca="1">IF(C177=$U$4,"Enter smelter details", IF(ISERROR($S177),"",OFFSET('Smelter Reference List'!$F$4,$S177-4,0)))</f>
        <v>CFSI</v>
      </c>
      <c r="H177" s="293">
        <f ca="1">IF(ISERROR($S177),"",OFFSET('Smelter Reference List'!$G$4,$S177-4,0))</f>
        <v>0</v>
      </c>
      <c r="I177" s="294" t="str">
        <f ca="1">IF(ISERROR($S177),"",OFFSET('Smelter Reference List'!$H$4,$S177-4,0))</f>
        <v>Ust-Kamenogorsk</v>
      </c>
      <c r="J177" s="294" t="str">
        <f ca="1">IF(ISERROR($S177),"",OFFSET('Smelter Reference List'!$I$4,$S177-4,0))</f>
        <v>East Kazakhstan</v>
      </c>
      <c r="K177" s="295"/>
      <c r="L177" s="295"/>
      <c r="M177" s="295"/>
      <c r="N177" s="295"/>
      <c r="O177" s="295"/>
      <c r="P177" s="295"/>
      <c r="Q177" s="296"/>
      <c r="R177" s="227"/>
      <c r="S177" s="228">
        <f ca="1">IF(C177="",NA(),MATCH($B177&amp;$C177,'Smelter Reference List'!$J:$J,0))</f>
        <v>301</v>
      </c>
      <c r="T177" s="229"/>
      <c r="U177" s="229">
        <f t="shared" ca="1" si="6"/>
        <v>0</v>
      </c>
      <c r="V177" s="229"/>
      <c r="W177" s="229"/>
      <c r="Y177" s="223" t="str">
        <f t="shared" ca="1" si="7"/>
        <v>TantalumUlba Metallurgical Plant JSC</v>
      </c>
    </row>
    <row r="178" spans="1:25" s="223" customFormat="1" ht="20.25">
      <c r="A178" s="291" t="s">
        <v>1305</v>
      </c>
      <c r="B178" s="292" t="str">
        <f ca="1">IF(LEN(A178)=0,"",INDEX('Smelter Reference List'!$A:$A,MATCH($A178,'Smelter Reference List'!$E:$E,0)))</f>
        <v>Gold</v>
      </c>
      <c r="C178" s="298" t="str">
        <f ca="1">IF(LEN(A178)=0,"",INDEX('Smelter Reference List'!$C:$C,MATCH($A178,'Smelter Reference List'!$E:$E,0)))</f>
        <v>Umicore Brasil Ltda.</v>
      </c>
      <c r="D178" s="292" t="str">
        <f ca="1">IF(ISERROR($S178),"",OFFSET('Smelter Reference List'!$C$4,$S178-4,0)&amp;"")</f>
        <v>Umicore Brasil Ltda.</v>
      </c>
      <c r="E178" s="292" t="str">
        <f ca="1">IF(ISERROR($S178),"",OFFSET('Smelter Reference List'!$D$4,$S178-4,0)&amp;"")</f>
        <v>BRAZIL</v>
      </c>
      <c r="F178" s="292" t="str">
        <f ca="1">IF(ISERROR($S178),"",OFFSET('Smelter Reference List'!$E$4,$S178-4,0))</f>
        <v>CID001977</v>
      </c>
      <c r="G178" s="292" t="str">
        <f ca="1">IF(C178=$U$4,"Enter smelter details", IF(ISERROR($S178),"",OFFSET('Smelter Reference List'!$F$4,$S178-4,0)))</f>
        <v>CFSI</v>
      </c>
      <c r="H178" s="293">
        <f ca="1">IF(ISERROR($S178),"",OFFSET('Smelter Reference List'!$G$4,$S178-4,0))</f>
        <v>0</v>
      </c>
      <c r="I178" s="294" t="str">
        <f ca="1">IF(ISERROR($S178),"",OFFSET('Smelter Reference List'!$H$4,$S178-4,0))</f>
        <v>Guarulhos</v>
      </c>
      <c r="J178" s="294" t="str">
        <f ca="1">IF(ISERROR($S178),"",OFFSET('Smelter Reference List'!$I$4,$S178-4,0))</f>
        <v>São Paulo</v>
      </c>
      <c r="K178" s="295"/>
      <c r="L178" s="295"/>
      <c r="M178" s="295"/>
      <c r="N178" s="295"/>
      <c r="O178" s="295"/>
      <c r="P178" s="295"/>
      <c r="Q178" s="296"/>
      <c r="R178" s="227"/>
      <c r="S178" s="228">
        <f ca="1">IF(C178="",NA(),MATCH($B178&amp;$C178,'Smelter Reference List'!$J:$J,0))</f>
        <v>217</v>
      </c>
      <c r="T178" s="229"/>
      <c r="U178" s="229">
        <f t="shared" ca="1" si="6"/>
        <v>0</v>
      </c>
      <c r="V178" s="229"/>
      <c r="W178" s="229"/>
      <c r="Y178" s="223" t="str">
        <f t="shared" ca="1" si="7"/>
        <v>GoldUmicore Brasil Ltda.</v>
      </c>
    </row>
    <row r="179" spans="1:25" s="223" customFormat="1" ht="20.25">
      <c r="A179" s="291" t="s">
        <v>1306</v>
      </c>
      <c r="B179" s="292" t="str">
        <f ca="1">IF(LEN(A179)=0,"",INDEX('Smelter Reference List'!$A:$A,MATCH($A179,'Smelter Reference List'!$E:$E,0)))</f>
        <v>Gold</v>
      </c>
      <c r="C179" s="298" t="str">
        <f ca="1">IF(LEN(A179)=0,"",INDEX('Smelter Reference List'!$C:$C,MATCH($A179,'Smelter Reference List'!$E:$E,0)))</f>
        <v>Umicore S.A. Business Unit Precious Metals Refining</v>
      </c>
      <c r="D179" s="292" t="str">
        <f ca="1">IF(ISERROR($S179),"",OFFSET('Smelter Reference List'!$C$4,$S179-4,0)&amp;"")</f>
        <v>Umicore S.A. Business Unit Precious Metals Refining</v>
      </c>
      <c r="E179" s="292" t="str">
        <f ca="1">IF(ISERROR($S179),"",OFFSET('Smelter Reference List'!$D$4,$S179-4,0)&amp;"")</f>
        <v>BELGIUM</v>
      </c>
      <c r="F179" s="292" t="str">
        <f ca="1">IF(ISERROR($S179),"",OFFSET('Smelter Reference List'!$E$4,$S179-4,0))</f>
        <v>CID001980</v>
      </c>
      <c r="G179" s="292" t="str">
        <f ca="1">IF(C179=$U$4,"Enter smelter details", IF(ISERROR($S179),"",OFFSET('Smelter Reference List'!$F$4,$S179-4,0)))</f>
        <v>CFSI</v>
      </c>
      <c r="H179" s="293">
        <f ca="1">IF(ISERROR($S179),"",OFFSET('Smelter Reference List'!$G$4,$S179-4,0))</f>
        <v>0</v>
      </c>
      <c r="I179" s="294" t="str">
        <f ca="1">IF(ISERROR($S179),"",OFFSET('Smelter Reference List'!$H$4,$S179-4,0))</f>
        <v>Hoboken</v>
      </c>
      <c r="J179" s="294" t="str">
        <f ca="1">IF(ISERROR($S179),"",OFFSET('Smelter Reference List'!$I$4,$S179-4,0))</f>
        <v>Antwerp</v>
      </c>
      <c r="K179" s="295"/>
      <c r="L179" s="295"/>
      <c r="M179" s="295"/>
      <c r="N179" s="295"/>
      <c r="O179" s="295"/>
      <c r="P179" s="295"/>
      <c r="Q179" s="296"/>
      <c r="R179" s="227"/>
      <c r="S179" s="228">
        <f ca="1">IF(C179="",NA(),MATCH($B179&amp;$C179,'Smelter Reference List'!$J:$J,0))</f>
        <v>219</v>
      </c>
      <c r="T179" s="229"/>
      <c r="U179" s="229">
        <f t="shared" ca="1" si="6"/>
        <v>0</v>
      </c>
      <c r="V179" s="229"/>
      <c r="W179" s="229"/>
      <c r="Y179" s="223" t="str">
        <f t="shared" ca="1" si="7"/>
        <v>GoldUmicore S.A. Business Unit Precious Metals Refining</v>
      </c>
    </row>
    <row r="180" spans="1:25" s="223" customFormat="1" ht="20.25">
      <c r="A180" s="291" t="s">
        <v>1307</v>
      </c>
      <c r="B180" s="292" t="str">
        <f ca="1">IF(LEN(A180)=0,"",INDEX('Smelter Reference List'!$A:$A,MATCH($A180,'Smelter Reference List'!$E:$E,0)))</f>
        <v>Gold</v>
      </c>
      <c r="C180" s="298" t="str">
        <f ca="1">IF(LEN(A180)=0,"",INDEX('Smelter Reference List'!$C:$C,MATCH($A180,'Smelter Reference List'!$E:$E,0)))</f>
        <v>United Precious Metal Refining, Inc.</v>
      </c>
      <c r="D180" s="292" t="str">
        <f ca="1">IF(ISERROR($S180),"",OFFSET('Smelter Reference List'!$C$4,$S180-4,0)&amp;"")</f>
        <v>United Precious Metal Refining, Inc.</v>
      </c>
      <c r="E180" s="292" t="str">
        <f ca="1">IF(ISERROR($S180),"",OFFSET('Smelter Reference List'!$D$4,$S180-4,0)&amp;"")</f>
        <v>UNITED STATES OF AMERICA</v>
      </c>
      <c r="F180" s="292" t="str">
        <f ca="1">IF(ISERROR($S180),"",OFFSET('Smelter Reference List'!$E$4,$S180-4,0))</f>
        <v>CID001993</v>
      </c>
      <c r="G180" s="292" t="str">
        <f ca="1">IF(C180=$U$4,"Enter smelter details", IF(ISERROR($S180),"",OFFSET('Smelter Reference List'!$F$4,$S180-4,0)))</f>
        <v>CFSI</v>
      </c>
      <c r="H180" s="293">
        <f ca="1">IF(ISERROR($S180),"",OFFSET('Smelter Reference List'!$G$4,$S180-4,0))</f>
        <v>0</v>
      </c>
      <c r="I180" s="294" t="str">
        <f ca="1">IF(ISERROR($S180),"",OFFSET('Smelter Reference List'!$H$4,$S180-4,0))</f>
        <v>Alden</v>
      </c>
      <c r="J180" s="294" t="str">
        <f ca="1">IF(ISERROR($S180),"",OFFSET('Smelter Reference List'!$I$4,$S180-4,0))</f>
        <v>New York</v>
      </c>
      <c r="K180" s="295"/>
      <c r="L180" s="295"/>
      <c r="M180" s="295"/>
      <c r="N180" s="295"/>
      <c r="O180" s="295"/>
      <c r="P180" s="295"/>
      <c r="Q180" s="296"/>
      <c r="R180" s="227"/>
      <c r="S180" s="228">
        <f ca="1">IF(C180="",NA(),MATCH($B180&amp;$C180,'Smelter Reference List'!$J:$J,0))</f>
        <v>220</v>
      </c>
      <c r="T180" s="229"/>
      <c r="U180" s="229">
        <f t="shared" ca="1" si="6"/>
        <v>0</v>
      </c>
      <c r="V180" s="229"/>
      <c r="W180" s="229"/>
      <c r="Y180" s="223" t="str">
        <f t="shared" ca="1" si="7"/>
        <v>GoldUnited Precious Metal Refining, Inc.</v>
      </c>
    </row>
    <row r="181" spans="1:25" s="223" customFormat="1" ht="20.25">
      <c r="A181" s="291" t="s">
        <v>1308</v>
      </c>
      <c r="B181" s="292" t="str">
        <f ca="1">IF(LEN(A181)=0,"",INDEX('Smelter Reference List'!$A:$A,MATCH($A181,'Smelter Reference List'!$E:$E,0)))</f>
        <v>Gold</v>
      </c>
      <c r="C181" s="298" t="str">
        <f ca="1">IF(LEN(A181)=0,"",INDEX('Smelter Reference List'!$C:$C,MATCH($A181,'Smelter Reference List'!$E:$E,0)))</f>
        <v>Valcambi S.A.</v>
      </c>
      <c r="D181" s="292" t="str">
        <f ca="1">IF(ISERROR($S181),"",OFFSET('Smelter Reference List'!$C$4,$S181-4,0)&amp;"")</f>
        <v>Valcambi S.A.</v>
      </c>
      <c r="E181" s="292" t="str">
        <f ca="1">IF(ISERROR($S181),"",OFFSET('Smelter Reference List'!$D$4,$S181-4,0)&amp;"")</f>
        <v>SWITZERLAND</v>
      </c>
      <c r="F181" s="292" t="str">
        <f ca="1">IF(ISERROR($S181),"",OFFSET('Smelter Reference List'!$E$4,$S181-4,0))</f>
        <v>CID002003</v>
      </c>
      <c r="G181" s="292" t="str">
        <f ca="1">IF(C181=$U$4,"Enter smelter details", IF(ISERROR($S181),"",OFFSET('Smelter Reference List'!$F$4,$S181-4,0)))</f>
        <v>CFSI</v>
      </c>
      <c r="H181" s="293">
        <f ca="1">IF(ISERROR($S181),"",OFFSET('Smelter Reference List'!$G$4,$S181-4,0))</f>
        <v>0</v>
      </c>
      <c r="I181" s="294" t="str">
        <f ca="1">IF(ISERROR($S181),"",OFFSET('Smelter Reference List'!$H$4,$S181-4,0))</f>
        <v>Balerna</v>
      </c>
      <c r="J181" s="294" t="str">
        <f ca="1">IF(ISERROR($S181),"",OFFSET('Smelter Reference List'!$I$4,$S181-4,0))</f>
        <v>Ticino</v>
      </c>
      <c r="K181" s="295"/>
      <c r="L181" s="295"/>
      <c r="M181" s="295"/>
      <c r="N181" s="295"/>
      <c r="O181" s="295"/>
      <c r="P181" s="295"/>
      <c r="Q181" s="296"/>
      <c r="R181" s="227"/>
      <c r="S181" s="228">
        <f ca="1">IF(C181="",NA(),MATCH($B181&amp;$C181,'Smelter Reference List'!$J:$J,0))</f>
        <v>222</v>
      </c>
      <c r="T181" s="229"/>
      <c r="U181" s="229">
        <f t="shared" ca="1" si="6"/>
        <v>0</v>
      </c>
      <c r="V181" s="229"/>
      <c r="W181" s="229"/>
      <c r="Y181" s="223" t="str">
        <f t="shared" ca="1" si="7"/>
        <v>GoldValcambi S.A.</v>
      </c>
    </row>
    <row r="182" spans="1:25" s="223" customFormat="1" ht="20.25">
      <c r="A182" s="291" t="s">
        <v>2542</v>
      </c>
      <c r="B182" s="292" t="str">
        <f ca="1">IF(LEN(A182)=0,"",INDEX('Smelter Reference List'!$A:$A,MATCH($A182,'Smelter Reference List'!$E:$E,0)))</f>
        <v>Tungsten</v>
      </c>
      <c r="C182" s="298" t="str">
        <f ca="1">IF(LEN(A182)=0,"",INDEX('Smelter Reference List'!$C:$C,MATCH($A182,'Smelter Reference List'!$E:$E,0)))</f>
        <v>Vietnam Youngsun Tungsten Industry Co., Ltd.</v>
      </c>
      <c r="D182" s="292" t="str">
        <f ca="1">IF(ISERROR($S182),"",OFFSET('Smelter Reference List'!$C$4,$S182-4,0)&amp;"")</f>
        <v>Vietnam Youngsun Tungsten Industry Co., Ltd.</v>
      </c>
      <c r="E182" s="292" t="str">
        <f ca="1">IF(ISERROR($S182),"",OFFSET('Smelter Reference List'!$D$4,$S182-4,0)&amp;"")</f>
        <v>VIET NAM</v>
      </c>
      <c r="F182" s="292" t="str">
        <f ca="1">IF(ISERROR($S182),"",OFFSET('Smelter Reference List'!$E$4,$S182-4,0))</f>
        <v>CID002011</v>
      </c>
      <c r="G182" s="292" t="str">
        <f ca="1">IF(C182=$U$4,"Enter smelter details", IF(ISERROR($S182),"",OFFSET('Smelter Reference List'!$F$4,$S182-4,0)))</f>
        <v>CFSI</v>
      </c>
      <c r="H182" s="293">
        <f ca="1">IF(ISERROR($S182),"",OFFSET('Smelter Reference List'!$G$4,$S182-4,0))</f>
        <v>0</v>
      </c>
      <c r="I182" s="294" t="str">
        <f ca="1">IF(ISERROR($S182),"",OFFSET('Smelter Reference List'!$H$4,$S182-4,0))</f>
        <v>Halong City</v>
      </c>
      <c r="J182" s="294" t="str">
        <f ca="1">IF(ISERROR($S182),"",OFFSET('Smelter Reference List'!$I$4,$S182-4,0))</f>
        <v>Quang Ninh</v>
      </c>
      <c r="K182" s="295"/>
      <c r="L182" s="295"/>
      <c r="M182" s="295"/>
      <c r="N182" s="295"/>
      <c r="O182" s="295"/>
      <c r="P182" s="295"/>
      <c r="Q182" s="296"/>
      <c r="R182" s="227"/>
      <c r="S182" s="228">
        <f ca="1">IF(C182="",NA(),MATCH($B182&amp;$C182,'Smelter Reference List'!$J:$J,0))</f>
        <v>518</v>
      </c>
      <c r="T182" s="229"/>
      <c r="U182" s="229">
        <f t="shared" ca="1" si="6"/>
        <v>0</v>
      </c>
      <c r="V182" s="229"/>
      <c r="W182" s="229"/>
      <c r="Y182" s="223" t="str">
        <f t="shared" ca="1" si="7"/>
        <v>TungstenVietnam Youngsun Tungsten Industry Co., Ltd.</v>
      </c>
    </row>
    <row r="183" spans="1:25" s="223" customFormat="1" ht="20.25">
      <c r="A183" s="291" t="s">
        <v>3440</v>
      </c>
      <c r="B183" s="292" t="str">
        <f ca="1">IF(LEN(A183)=0,"",INDEX('Smelter Reference List'!$A:$A,MATCH($A183,'Smelter Reference List'!$E:$E,0)))</f>
        <v>Tin</v>
      </c>
      <c r="C183" s="298" t="str">
        <f ca="1">IF(LEN(A183)=0,"",INDEX('Smelter Reference List'!$C:$C,MATCH($A183,'Smelter Reference List'!$E:$E,0)))</f>
        <v>VQB Mineral and Trading Group JSC</v>
      </c>
      <c r="D183" s="292" t="str">
        <f ca="1">IF(ISERROR($S183),"",OFFSET('Smelter Reference List'!$C$4,$S183-4,0)&amp;"")</f>
        <v>VQB Mineral and Trading Group JSC</v>
      </c>
      <c r="E183" s="292" t="str">
        <f ca="1">IF(ISERROR($S183),"",OFFSET('Smelter Reference List'!$D$4,$S183-4,0)&amp;"")</f>
        <v>VIET NAM</v>
      </c>
      <c r="F183" s="292" t="str">
        <f ca="1">IF(ISERROR($S183),"",OFFSET('Smelter Reference List'!$E$4,$S183-4,0))</f>
        <v>CID002015</v>
      </c>
      <c r="G183" s="292" t="str">
        <f ca="1">IF(C183=$U$4,"Enter smelter details", IF(ISERROR($S183),"",OFFSET('Smelter Reference List'!$F$4,$S183-4,0)))</f>
        <v>CFSI</v>
      </c>
      <c r="H183" s="293">
        <f ca="1">IF(ISERROR($S183),"",OFFSET('Smelter Reference List'!$G$4,$S183-4,0))</f>
        <v>0</v>
      </c>
      <c r="I183" s="294" t="str">
        <f ca="1">IF(ISERROR($S183),"",OFFSET('Smelter Reference List'!$H$4,$S183-4,0))</f>
        <v>Nguyen Van Ngoc</v>
      </c>
      <c r="J183" s="294" t="str">
        <f ca="1">IF(ISERROR($S183),"",OFFSET('Smelter Reference List'!$I$4,$S183-4,0))</f>
        <v>Hanoi</v>
      </c>
      <c r="K183" s="295"/>
      <c r="L183" s="295"/>
      <c r="M183" s="295"/>
      <c r="N183" s="295"/>
      <c r="O183" s="295"/>
      <c r="P183" s="295"/>
      <c r="Q183" s="296"/>
      <c r="R183" s="227"/>
      <c r="S183" s="228">
        <f ca="1">IF(C183="",NA(),MATCH($B183&amp;$C183,'Smelter Reference List'!$J:$J,0))</f>
        <v>448</v>
      </c>
      <c r="T183" s="229"/>
      <c r="U183" s="229">
        <f t="shared" ca="1" si="6"/>
        <v>0</v>
      </c>
      <c r="V183" s="229"/>
      <c r="W183" s="229"/>
      <c r="Y183" s="223" t="str">
        <f t="shared" ca="1" si="7"/>
        <v>TinVQB Mineral and Trading Group JSC</v>
      </c>
    </row>
    <row r="184" spans="1:25" s="223" customFormat="1" ht="20.25">
      <c r="A184" s="291" t="s">
        <v>1309</v>
      </c>
      <c r="B184" s="292" t="str">
        <f ca="1">IF(LEN(A184)=0,"",INDEX('Smelter Reference List'!$A:$A,MATCH($A184,'Smelter Reference List'!$E:$E,0)))</f>
        <v>Gold</v>
      </c>
      <c r="C184" s="298" t="str">
        <f ca="1">IF(LEN(A184)=0,"",INDEX('Smelter Reference List'!$C:$C,MATCH($A184,'Smelter Reference List'!$E:$E,0)))</f>
        <v>Western Australian Mint trading as The Perth Mint</v>
      </c>
      <c r="D184" s="292" t="str">
        <f ca="1">IF(ISERROR($S184),"",OFFSET('Smelter Reference List'!$C$4,$S184-4,0)&amp;"")</f>
        <v>Western Australian Mint trading as The Perth Mint</v>
      </c>
      <c r="E184" s="292" t="str">
        <f ca="1">IF(ISERROR($S184),"",OFFSET('Smelter Reference List'!$D$4,$S184-4,0)&amp;"")</f>
        <v>AUSTRALIA</v>
      </c>
      <c r="F184" s="292" t="str">
        <f ca="1">IF(ISERROR($S184),"",OFFSET('Smelter Reference List'!$E$4,$S184-4,0))</f>
        <v>CID002030</v>
      </c>
      <c r="G184" s="292" t="str">
        <f ca="1">IF(C184=$U$4,"Enter smelter details", IF(ISERROR($S184),"",OFFSET('Smelter Reference List'!$F$4,$S184-4,0)))</f>
        <v>CFSI</v>
      </c>
      <c r="H184" s="293">
        <f ca="1">IF(ISERROR($S184),"",OFFSET('Smelter Reference List'!$G$4,$S184-4,0))</f>
        <v>0</v>
      </c>
      <c r="I184" s="294" t="str">
        <f ca="1">IF(ISERROR($S184),"",OFFSET('Smelter Reference List'!$H$4,$S184-4,0))</f>
        <v>Newburn</v>
      </c>
      <c r="J184" s="294" t="str">
        <f ca="1">IF(ISERROR($S184),"",OFFSET('Smelter Reference List'!$I$4,$S184-4,0))</f>
        <v>Western Australia</v>
      </c>
      <c r="K184" s="295"/>
      <c r="L184" s="295"/>
      <c r="M184" s="295"/>
      <c r="N184" s="295"/>
      <c r="O184" s="295"/>
      <c r="P184" s="295"/>
      <c r="Q184" s="296"/>
      <c r="R184" s="227"/>
      <c r="S184" s="228">
        <f ca="1">IF(C184="",NA(),MATCH($B184&amp;$C184,'Smelter Reference List'!$J:$J,0))</f>
        <v>223</v>
      </c>
      <c r="T184" s="229"/>
      <c r="U184" s="229">
        <f t="shared" ca="1" si="6"/>
        <v>0</v>
      </c>
      <c r="V184" s="229"/>
      <c r="W184" s="229"/>
      <c r="Y184" s="223" t="str">
        <f t="shared" ca="1" si="7"/>
        <v>GoldWestern Australian Mint trading as The Perth Mint</v>
      </c>
    </row>
    <row r="185" spans="1:25" s="223" customFormat="1" ht="20.25">
      <c r="A185" s="291" t="s">
        <v>1381</v>
      </c>
      <c r="B185" s="292" t="str">
        <f ca="1">IF(LEN(A185)=0,"",INDEX('Smelter Reference List'!$A:$A,MATCH($A185,'Smelter Reference List'!$E:$E,0)))</f>
        <v>Tin</v>
      </c>
      <c r="C185" s="298" t="str">
        <f ca="1">IF(LEN(A185)=0,"",INDEX('Smelter Reference List'!$C:$C,MATCH($A185,'Smelter Reference List'!$E:$E,0)))</f>
        <v>White Solder Metalurgia e Mineração Ltda.</v>
      </c>
      <c r="D185" s="292" t="str">
        <f ca="1">IF(ISERROR($S185),"",OFFSET('Smelter Reference List'!$C$4,$S185-4,0)&amp;"")</f>
        <v>White Solder Metalurgia e Mineração Ltda.</v>
      </c>
      <c r="E185" s="292" t="str">
        <f ca="1">IF(ISERROR($S185),"",OFFSET('Smelter Reference List'!$D$4,$S185-4,0)&amp;"")</f>
        <v>BRAZIL</v>
      </c>
      <c r="F185" s="292" t="str">
        <f ca="1">IF(ISERROR($S185),"",OFFSET('Smelter Reference List'!$E$4,$S185-4,0))</f>
        <v>CID002036</v>
      </c>
      <c r="G185" s="292" t="str">
        <f ca="1">IF(C185=$U$4,"Enter smelter details", IF(ISERROR($S185),"",OFFSET('Smelter Reference List'!$F$4,$S185-4,0)))</f>
        <v>CFSI</v>
      </c>
      <c r="H185" s="293">
        <f ca="1">IF(ISERROR($S185),"",OFFSET('Smelter Reference List'!$G$4,$S185-4,0))</f>
        <v>0</v>
      </c>
      <c r="I185" s="294" t="str">
        <f ca="1">IF(ISERROR($S185),"",OFFSET('Smelter Reference List'!$H$4,$S185-4,0))</f>
        <v>Ariquemes</v>
      </c>
      <c r="J185" s="294" t="str">
        <f ca="1">IF(ISERROR($S185),"",OFFSET('Smelter Reference List'!$I$4,$S185-4,0))</f>
        <v>Rondonia</v>
      </c>
      <c r="K185" s="295"/>
      <c r="L185" s="295"/>
      <c r="M185" s="295"/>
      <c r="N185" s="295"/>
      <c r="O185" s="295"/>
      <c r="P185" s="295"/>
      <c r="Q185" s="296"/>
      <c r="R185" s="227"/>
      <c r="S185" s="228">
        <f ca="1">IF(C185="",NA(),MATCH($B185&amp;$C185,'Smelter Reference List'!$J:$J,0))</f>
        <v>449</v>
      </c>
      <c r="T185" s="229"/>
      <c r="U185" s="229">
        <f t="shared" ca="1" si="6"/>
        <v>0</v>
      </c>
      <c r="V185" s="229"/>
      <c r="W185" s="229"/>
      <c r="Y185" s="223" t="str">
        <f t="shared" ca="1" si="7"/>
        <v>TinWhite Solder Metalurgia e Mineração Ltda.</v>
      </c>
    </row>
    <row r="186" spans="1:25" s="223" customFormat="1" ht="20.25">
      <c r="A186" s="291" t="s">
        <v>1397</v>
      </c>
      <c r="B186" s="292" t="str">
        <f ca="1">IF(LEN(A186)=0,"",INDEX('Smelter Reference List'!$A:$A,MATCH($A186,'Smelter Reference List'!$E:$E,0)))</f>
        <v>Tungsten</v>
      </c>
      <c r="C186" s="298" t="str">
        <f ca="1">IF(LEN(A186)=0,"",INDEX('Smelter Reference List'!$C:$C,MATCH($A186,'Smelter Reference List'!$E:$E,0)))</f>
        <v>Wolfram Bergbau und Hütten AG</v>
      </c>
      <c r="D186" s="292" t="str">
        <f ca="1">IF(ISERROR($S186),"",OFFSET('Smelter Reference List'!$C$4,$S186-4,0)&amp;"")</f>
        <v>Wolfram Bergbau und Hütten AG</v>
      </c>
      <c r="E186" s="292" t="str">
        <f ca="1">IF(ISERROR($S186),"",OFFSET('Smelter Reference List'!$D$4,$S186-4,0)&amp;"")</f>
        <v>AUSTRIA</v>
      </c>
      <c r="F186" s="292" t="str">
        <f ca="1">IF(ISERROR($S186),"",OFFSET('Smelter Reference List'!$E$4,$S186-4,0))</f>
        <v>CID002044</v>
      </c>
      <c r="G186" s="292" t="str">
        <f ca="1">IF(C186=$U$4,"Enter smelter details", IF(ISERROR($S186),"",OFFSET('Smelter Reference List'!$F$4,$S186-4,0)))</f>
        <v>CFSI</v>
      </c>
      <c r="H186" s="293">
        <f ca="1">IF(ISERROR($S186),"",OFFSET('Smelter Reference List'!$G$4,$S186-4,0))</f>
        <v>0</v>
      </c>
      <c r="I186" s="294" t="str">
        <f ca="1">IF(ISERROR($S186),"",OFFSET('Smelter Reference List'!$H$4,$S186-4,0))</f>
        <v>St. Martin i-S</v>
      </c>
      <c r="J186" s="294" t="str">
        <f ca="1">IF(ISERROR($S186),"",OFFSET('Smelter Reference List'!$I$4,$S186-4,0))</f>
        <v>Styria</v>
      </c>
      <c r="K186" s="295"/>
      <c r="L186" s="295"/>
      <c r="M186" s="295"/>
      <c r="N186" s="295"/>
      <c r="O186" s="295"/>
      <c r="P186" s="295"/>
      <c r="Q186" s="296"/>
      <c r="R186" s="227"/>
      <c r="S186" s="228">
        <f ca="1">IF(C186="",NA(),MATCH($B186&amp;$C186,'Smelter Reference List'!$J:$J,0))</f>
        <v>521</v>
      </c>
      <c r="T186" s="229"/>
      <c r="U186" s="229">
        <f t="shared" ca="1" si="6"/>
        <v>0</v>
      </c>
      <c r="V186" s="229"/>
      <c r="W186" s="229"/>
      <c r="Y186" s="223" t="str">
        <f t="shared" ca="1" si="7"/>
        <v>TungstenWolfram Bergbau und Hütten AG</v>
      </c>
    </row>
    <row r="187" spans="1:25" s="223" customFormat="1" ht="20.25">
      <c r="A187" s="291" t="s">
        <v>1398</v>
      </c>
      <c r="B187" s="292" t="str">
        <f ca="1">IF(LEN(A187)=0,"",INDEX('Smelter Reference List'!$A:$A,MATCH($A187,'Smelter Reference List'!$E:$E,0)))</f>
        <v>Tungsten</v>
      </c>
      <c r="C187" s="298" t="str">
        <f ca="1">IF(LEN(A187)=0,"",INDEX('Smelter Reference List'!$C:$C,MATCH($A187,'Smelter Reference List'!$E:$E,0)))</f>
        <v>Xiamen Tungsten Co., Ltd.</v>
      </c>
      <c r="D187" s="292" t="str">
        <f ca="1">IF(ISERROR($S187),"",OFFSET('Smelter Reference List'!$C$4,$S187-4,0)&amp;"")</f>
        <v>Xiamen Tungsten Co., Ltd.</v>
      </c>
      <c r="E187" s="292" t="str">
        <f ca="1">IF(ISERROR($S187),"",OFFSET('Smelter Reference List'!$D$4,$S187-4,0)&amp;"")</f>
        <v>CHINA</v>
      </c>
      <c r="F187" s="292" t="str">
        <f ca="1">IF(ISERROR($S187),"",OFFSET('Smelter Reference List'!$E$4,$S187-4,0))</f>
        <v>CID002082</v>
      </c>
      <c r="G187" s="292" t="str">
        <f ca="1">IF(C187=$U$4,"Enter smelter details", IF(ISERROR($S187),"",OFFSET('Smelter Reference List'!$F$4,$S187-4,0)))</f>
        <v>CFSI</v>
      </c>
      <c r="H187" s="293">
        <f ca="1">IF(ISERROR($S187),"",OFFSET('Smelter Reference List'!$G$4,$S187-4,0))</f>
        <v>0</v>
      </c>
      <c r="I187" s="294" t="str">
        <f ca="1">IF(ISERROR($S187),"",OFFSET('Smelter Reference List'!$H$4,$S187-4,0))</f>
        <v>Xiamen</v>
      </c>
      <c r="J187" s="294" t="str">
        <f ca="1">IF(ISERROR($S187),"",OFFSET('Smelter Reference List'!$I$4,$S187-4,0))</f>
        <v>Fujian</v>
      </c>
      <c r="K187" s="295"/>
      <c r="L187" s="295"/>
      <c r="M187" s="295"/>
      <c r="N187" s="295"/>
      <c r="O187" s="295"/>
      <c r="P187" s="295"/>
      <c r="Q187" s="296"/>
      <c r="R187" s="227"/>
      <c r="S187" s="228">
        <f ca="1">IF(C187="",NA(),MATCH($B187&amp;$C187,'Smelter Reference List'!$J:$J,0))</f>
        <v>525</v>
      </c>
      <c r="T187" s="229"/>
      <c r="U187" s="229">
        <f t="shared" ca="1" si="6"/>
        <v>0</v>
      </c>
      <c r="V187" s="229"/>
      <c r="W187" s="229"/>
      <c r="Y187" s="223" t="str">
        <f t="shared" ca="1" si="7"/>
        <v>TungstenXiamen Tungsten Co., Ltd.</v>
      </c>
    </row>
    <row r="188" spans="1:25" s="223" customFormat="1" ht="20.25">
      <c r="A188" s="291" t="s">
        <v>1400</v>
      </c>
      <c r="B188" s="292" t="str">
        <f ca="1">IF(LEN(A188)=0,"",INDEX('Smelter Reference List'!$A:$A,MATCH($A188,'Smelter Reference List'!$E:$E,0)))</f>
        <v>Tungsten</v>
      </c>
      <c r="C188" s="298" t="str">
        <f ca="1">IF(LEN(A188)=0,"",INDEX('Smelter Reference List'!$C:$C,MATCH($A188,'Smelter Reference List'!$E:$E,0)))</f>
        <v>Xinhai Rendan Shaoguan Tungsten Co., Ltd.</v>
      </c>
      <c r="D188" s="292" t="str">
        <f ca="1">IF(ISERROR($S188),"",OFFSET('Smelter Reference List'!$C$4,$S188-4,0)&amp;"")</f>
        <v>Xinhai Rendan Shaoguan Tungsten Co., Ltd.</v>
      </c>
      <c r="E188" s="292" t="str">
        <f ca="1">IF(ISERROR($S188),"",OFFSET('Smelter Reference List'!$D$4,$S188-4,0)&amp;"")</f>
        <v>CHINA</v>
      </c>
      <c r="F188" s="292" t="str">
        <f ca="1">IF(ISERROR($S188),"",OFFSET('Smelter Reference List'!$E$4,$S188-4,0))</f>
        <v>CID002095</v>
      </c>
      <c r="G188" s="292" t="str">
        <f ca="1">IF(C188=$U$4,"Enter smelter details", IF(ISERROR($S188),"",OFFSET('Smelter Reference List'!$F$4,$S188-4,0)))</f>
        <v>CFSI</v>
      </c>
      <c r="H188" s="293">
        <f ca="1">IF(ISERROR($S188),"",OFFSET('Smelter Reference List'!$G$4,$S188-4,0))</f>
        <v>0</v>
      </c>
      <c r="I188" s="294" t="str">
        <f ca="1">IF(ISERROR($S188),"",OFFSET('Smelter Reference List'!$H$4,$S188-4,0))</f>
        <v>Shaoguan</v>
      </c>
      <c r="J188" s="294" t="str">
        <f ca="1">IF(ISERROR($S188),"",OFFSET('Smelter Reference List'!$I$4,$S188-4,0))</f>
        <v>Guangdong</v>
      </c>
      <c r="K188" s="295"/>
      <c r="L188" s="295"/>
      <c r="M188" s="295"/>
      <c r="N188" s="295"/>
      <c r="O188" s="295"/>
      <c r="P188" s="295"/>
      <c r="Q188" s="296"/>
      <c r="R188" s="227"/>
      <c r="S188" s="228">
        <f ca="1">IF(C188="",NA(),MATCH($B188&amp;$C188,'Smelter Reference List'!$J:$J,0))</f>
        <v>527</v>
      </c>
      <c r="T188" s="229"/>
      <c r="U188" s="229">
        <f t="shared" ca="1" si="6"/>
        <v>0</v>
      </c>
      <c r="V188" s="229"/>
      <c r="W188" s="229"/>
      <c r="Y188" s="223" t="str">
        <f t="shared" ca="1" si="7"/>
        <v>TungstenXinhai Rendan Shaoguan Tungsten Co., Ltd.</v>
      </c>
    </row>
    <row r="189" spans="1:25" s="223" customFormat="1" ht="20.25">
      <c r="A189" s="291" t="s">
        <v>1310</v>
      </c>
      <c r="B189" s="292" t="str">
        <f ca="1">IF(LEN(A189)=0,"",INDEX('Smelter Reference List'!$A:$A,MATCH($A189,'Smelter Reference List'!$E:$E,0)))</f>
        <v>Gold</v>
      </c>
      <c r="C189" s="298" t="str">
        <f ca="1">IF(LEN(A189)=0,"",INDEX('Smelter Reference List'!$C:$C,MATCH($A189,'Smelter Reference List'!$E:$E,0)))</f>
        <v>Yamamoto Precious Metal Co., Ltd.</v>
      </c>
      <c r="D189" s="292" t="str">
        <f ca="1">IF(ISERROR($S189),"",OFFSET('Smelter Reference List'!$C$4,$S189-4,0)&amp;"")</f>
        <v>Yamamoto Precious Metal Co., Ltd.</v>
      </c>
      <c r="E189" s="292" t="str">
        <f ca="1">IF(ISERROR($S189),"",OFFSET('Smelter Reference List'!$D$4,$S189-4,0)&amp;"")</f>
        <v>JAPAN</v>
      </c>
      <c r="F189" s="292" t="str">
        <f ca="1">IF(ISERROR($S189),"",OFFSET('Smelter Reference List'!$E$4,$S189-4,0))</f>
        <v>CID002100</v>
      </c>
      <c r="G189" s="292" t="str">
        <f ca="1">IF(C189=$U$4,"Enter smelter details", IF(ISERROR($S189),"",OFFSET('Smelter Reference List'!$F$4,$S189-4,0)))</f>
        <v>CFSI</v>
      </c>
      <c r="H189" s="293">
        <f ca="1">IF(ISERROR($S189),"",OFFSET('Smelter Reference List'!$G$4,$S189-4,0))</f>
        <v>0</v>
      </c>
      <c r="I189" s="294" t="str">
        <f ca="1">IF(ISERROR($S189),"",OFFSET('Smelter Reference List'!$H$4,$S189-4,0))</f>
        <v>Osaka</v>
      </c>
      <c r="J189" s="294" t="str">
        <f ca="1">IF(ISERROR($S189),"",OFFSET('Smelter Reference List'!$I$4,$S189-4,0))</f>
        <v>Kansai</v>
      </c>
      <c r="K189" s="295"/>
      <c r="L189" s="295"/>
      <c r="M189" s="295"/>
      <c r="N189" s="295"/>
      <c r="O189" s="295"/>
      <c r="P189" s="295"/>
      <c r="Q189" s="296"/>
      <c r="R189" s="227"/>
      <c r="S189" s="228">
        <f ca="1">IF(C189="",NA(),MATCH($B189&amp;$C189,'Smelter Reference List'!$J:$J,0))</f>
        <v>227</v>
      </c>
      <c r="T189" s="229"/>
      <c r="U189" s="229">
        <f t="shared" ca="1" si="6"/>
        <v>0</v>
      </c>
      <c r="V189" s="229"/>
      <c r="W189" s="229"/>
      <c r="Y189" s="223" t="str">
        <f t="shared" ca="1" si="7"/>
        <v>GoldYamamoto Precious Metal Co., Ltd.</v>
      </c>
    </row>
    <row r="190" spans="1:25" s="223" customFormat="1" ht="20.25">
      <c r="A190" s="291" t="s">
        <v>1311</v>
      </c>
      <c r="B190" s="292" t="str">
        <f ca="1">IF(LEN(A190)=0,"",INDEX('Smelter Reference List'!$A:$A,MATCH($A190,'Smelter Reference List'!$E:$E,0)))</f>
        <v>Gold</v>
      </c>
      <c r="C190" s="298" t="str">
        <f ca="1">IF(LEN(A190)=0,"",INDEX('Smelter Reference List'!$C:$C,MATCH($A190,'Smelter Reference List'!$E:$E,0)))</f>
        <v>Yokohama Metal Co., Ltd.</v>
      </c>
      <c r="D190" s="292" t="str">
        <f ca="1">IF(ISERROR($S190),"",OFFSET('Smelter Reference List'!$C$4,$S190-4,0)&amp;"")</f>
        <v>Yokohama Metal Co., Ltd.</v>
      </c>
      <c r="E190" s="292" t="str">
        <f ca="1">IF(ISERROR($S190),"",OFFSET('Smelter Reference List'!$D$4,$S190-4,0)&amp;"")</f>
        <v>JAPAN</v>
      </c>
      <c r="F190" s="292" t="str">
        <f ca="1">IF(ISERROR($S190),"",OFFSET('Smelter Reference List'!$E$4,$S190-4,0))</f>
        <v>CID002129</v>
      </c>
      <c r="G190" s="292" t="str">
        <f ca="1">IF(C190=$U$4,"Enter smelter details", IF(ISERROR($S190),"",OFFSET('Smelter Reference List'!$F$4,$S190-4,0)))</f>
        <v>CFSI</v>
      </c>
      <c r="H190" s="293">
        <f ca="1">IF(ISERROR($S190),"",OFFSET('Smelter Reference List'!$G$4,$S190-4,0))</f>
        <v>0</v>
      </c>
      <c r="I190" s="294" t="str">
        <f ca="1">IF(ISERROR($S190),"",OFFSET('Smelter Reference List'!$H$4,$S190-4,0))</f>
        <v>Sagamihara</v>
      </c>
      <c r="J190" s="294" t="str">
        <f ca="1">IF(ISERROR($S190),"",OFFSET('Smelter Reference List'!$I$4,$S190-4,0))</f>
        <v>Kanagawa</v>
      </c>
      <c r="K190" s="295"/>
      <c r="L190" s="295"/>
      <c r="M190" s="295"/>
      <c r="N190" s="295"/>
      <c r="O190" s="295"/>
      <c r="P190" s="295"/>
      <c r="Q190" s="296"/>
      <c r="R190" s="227"/>
      <c r="S190" s="228">
        <f ca="1">IF(C190="",NA(),MATCH($B190&amp;$C190,'Smelter Reference List'!$J:$J,0))</f>
        <v>230</v>
      </c>
      <c r="T190" s="229"/>
      <c r="U190" s="229">
        <f t="shared" ca="1" si="6"/>
        <v>0</v>
      </c>
      <c r="V190" s="229"/>
      <c r="W190" s="229"/>
      <c r="Y190" s="223" t="str">
        <f t="shared" ca="1" si="7"/>
        <v>GoldYokohama Metal Co., Ltd.</v>
      </c>
    </row>
    <row r="191" spans="1:25" s="223" customFormat="1" ht="20.25">
      <c r="A191" s="291" t="s">
        <v>1382</v>
      </c>
      <c r="B191" s="292" t="str">
        <f ca="1">IF(LEN(A191)=0,"",INDEX('Smelter Reference List'!$A:$A,MATCH($A191,'Smelter Reference List'!$E:$E,0)))</f>
        <v>Tin</v>
      </c>
      <c r="C191" s="298" t="str">
        <f ca="1">IF(LEN(A191)=0,"",INDEX('Smelter Reference List'!$C:$C,MATCH($A191,'Smelter Reference List'!$E:$E,0)))</f>
        <v>Yunnan Chengfeng Non-ferrous Metals Co., Ltd.</v>
      </c>
      <c r="D191" s="292" t="str">
        <f ca="1">IF(ISERROR($S191),"",OFFSET('Smelter Reference List'!$C$4,$S191-4,0)&amp;"")</f>
        <v>Yunnan Chengfeng Non-ferrous Metals Co., Ltd.</v>
      </c>
      <c r="E191" s="292" t="str">
        <f ca="1">IF(ISERROR($S191),"",OFFSET('Smelter Reference List'!$D$4,$S191-4,0)&amp;"")</f>
        <v>CHINA</v>
      </c>
      <c r="F191" s="292" t="str">
        <f ca="1">IF(ISERROR($S191),"",OFFSET('Smelter Reference List'!$E$4,$S191-4,0))</f>
        <v>CID002158</v>
      </c>
      <c r="G191" s="292" t="str">
        <f ca="1">IF(C191=$U$4,"Enter smelter details", IF(ISERROR($S191),"",OFFSET('Smelter Reference List'!$F$4,$S191-4,0)))</f>
        <v>CFSI</v>
      </c>
      <c r="H191" s="293">
        <f ca="1">IF(ISERROR($S191),"",OFFSET('Smelter Reference List'!$G$4,$S191-4,0))</f>
        <v>0</v>
      </c>
      <c r="I191" s="294" t="str">
        <f ca="1">IF(ISERROR($S191),"",OFFSET('Smelter Reference List'!$H$4,$S191-4,0))</f>
        <v>Gejiu</v>
      </c>
      <c r="J191" s="294" t="str">
        <f ca="1">IF(ISERROR($S191),"",OFFSET('Smelter Reference List'!$I$4,$S191-4,0))</f>
        <v>Yunnan</v>
      </c>
      <c r="K191" s="295"/>
      <c r="L191" s="295"/>
      <c r="M191" s="295"/>
      <c r="N191" s="295"/>
      <c r="O191" s="295"/>
      <c r="P191" s="295"/>
      <c r="Q191" s="296"/>
      <c r="R191" s="227"/>
      <c r="S191" s="228">
        <f ca="1">IF(C191="",NA(),MATCH($B191&amp;$C191,'Smelter Reference List'!$J:$J,0))</f>
        <v>456</v>
      </c>
      <c r="T191" s="229"/>
      <c r="U191" s="229">
        <f t="shared" ca="1" si="6"/>
        <v>0</v>
      </c>
      <c r="V191" s="229"/>
      <c r="W191" s="229"/>
      <c r="Y191" s="223" t="str">
        <f t="shared" ca="1" si="7"/>
        <v>TinYunnan Chengfeng Non-ferrous Metals Co., Ltd.</v>
      </c>
    </row>
    <row r="192" spans="1:25" s="223" customFormat="1" ht="20.25">
      <c r="A192" s="291" t="s">
        <v>1383</v>
      </c>
      <c r="B192" s="292" t="str">
        <f ca="1">IF(LEN(A192)=0,"",INDEX('Smelter Reference List'!$A:$A,MATCH($A192,'Smelter Reference List'!$E:$E,0)))</f>
        <v>Tin</v>
      </c>
      <c r="C192" s="298" t="str">
        <f ca="1">IF(LEN(A192)=0,"",INDEX('Smelter Reference List'!$C:$C,MATCH($A192,'Smelter Reference List'!$E:$E,0)))</f>
        <v>Yunnan Tin Company Limited</v>
      </c>
      <c r="D192" s="292" t="str">
        <f ca="1">IF(ISERROR($S192),"",OFFSET('Smelter Reference List'!$C$4,$S192-4,0)&amp;"")</f>
        <v>Yunnan Tin Company Limited</v>
      </c>
      <c r="E192" s="292" t="str">
        <f ca="1">IF(ISERROR($S192),"",OFFSET('Smelter Reference List'!$D$4,$S192-4,0)&amp;"")</f>
        <v>CHINA</v>
      </c>
      <c r="F192" s="292" t="str">
        <f ca="1">IF(ISERROR($S192),"",OFFSET('Smelter Reference List'!$E$4,$S192-4,0))</f>
        <v>CID002180</v>
      </c>
      <c r="G192" s="292" t="str">
        <f ca="1">IF(C192=$U$4,"Enter smelter details", IF(ISERROR($S192),"",OFFSET('Smelter Reference List'!$F$4,$S192-4,0)))</f>
        <v>CFSI</v>
      </c>
      <c r="H192" s="293">
        <f ca="1">IF(ISERROR($S192),"",OFFSET('Smelter Reference List'!$G$4,$S192-4,0))</f>
        <v>0</v>
      </c>
      <c r="I192" s="294" t="str">
        <f ca="1">IF(ISERROR($S192),"",OFFSET('Smelter Reference List'!$H$4,$S192-4,0))</f>
        <v>Gejiu</v>
      </c>
      <c r="J192" s="294" t="str">
        <f ca="1">IF(ISERROR($S192),"",OFFSET('Smelter Reference List'!$I$4,$S192-4,0))</f>
        <v>Yunnan</v>
      </c>
      <c r="K192" s="295"/>
      <c r="L192" s="295"/>
      <c r="M192" s="295"/>
      <c r="N192" s="295"/>
      <c r="O192" s="295"/>
      <c r="P192" s="295"/>
      <c r="Q192" s="296"/>
      <c r="R192" s="227"/>
      <c r="S192" s="228">
        <f ca="1">IF(C192="",NA(),MATCH($B192&amp;$C192,'Smelter Reference List'!$J:$J,0))</f>
        <v>459</v>
      </c>
      <c r="T192" s="229"/>
      <c r="U192" s="229">
        <f t="shared" ca="1" si="6"/>
        <v>0</v>
      </c>
      <c r="V192" s="229"/>
      <c r="W192" s="229"/>
      <c r="Y192" s="223" t="str">
        <f t="shared" ca="1" si="7"/>
        <v>TinYunnan Tin Company Limited</v>
      </c>
    </row>
    <row r="193" spans="1:25" s="223" customFormat="1" ht="20.25">
      <c r="A193" s="291" t="s">
        <v>1313</v>
      </c>
      <c r="B193" s="292" t="str">
        <f ca="1">IF(LEN(A193)=0,"",INDEX('Smelter Reference List'!$A:$A,MATCH($A193,'Smelter Reference List'!$E:$E,0)))</f>
        <v>Gold</v>
      </c>
      <c r="C193" s="298" t="str">
        <f ca="1">IF(LEN(A193)=0,"",INDEX('Smelter Reference List'!$C:$C,MATCH($A193,'Smelter Reference List'!$E:$E,0)))</f>
        <v>Zhongyuan Gold Smelter of Zhongjin Gold Corporation</v>
      </c>
      <c r="D193" s="292" t="str">
        <f ca="1">IF(ISERROR($S193),"",OFFSET('Smelter Reference List'!$C$4,$S193-4,0)&amp;"")</f>
        <v>Zhongyuan Gold Smelter of Zhongjin Gold Corporation</v>
      </c>
      <c r="E193" s="292" t="str">
        <f ca="1">IF(ISERROR($S193),"",OFFSET('Smelter Reference List'!$D$4,$S193-4,0)&amp;"")</f>
        <v>CHINA</v>
      </c>
      <c r="F193" s="292" t="str">
        <f ca="1">IF(ISERROR($S193),"",OFFSET('Smelter Reference List'!$E$4,$S193-4,0))</f>
        <v>CID002224</v>
      </c>
      <c r="G193" s="292" t="str">
        <f ca="1">IF(C193=$U$4,"Enter smelter details", IF(ISERROR($S193),"",OFFSET('Smelter Reference List'!$F$4,$S193-4,0)))</f>
        <v>CFSI</v>
      </c>
      <c r="H193" s="293">
        <f ca="1">IF(ISERROR($S193),"",OFFSET('Smelter Reference List'!$G$4,$S193-4,0))</f>
        <v>0</v>
      </c>
      <c r="I193" s="294" t="str">
        <f ca="1">IF(ISERROR($S193),"",OFFSET('Smelter Reference List'!$H$4,$S193-4,0))</f>
        <v>Sanmenxia</v>
      </c>
      <c r="J193" s="294" t="str">
        <f ca="1">IF(ISERROR($S193),"",OFFSET('Smelter Reference List'!$I$4,$S193-4,0))</f>
        <v>Henan</v>
      </c>
      <c r="K193" s="295"/>
      <c r="L193" s="295"/>
      <c r="M193" s="295"/>
      <c r="N193" s="295"/>
      <c r="O193" s="295"/>
      <c r="P193" s="295"/>
      <c r="Q193" s="296"/>
      <c r="R193" s="227"/>
      <c r="S193" s="228">
        <f ca="1">IF(C193="",NA(),MATCH($B193&amp;$C193,'Smelter Reference List'!$J:$J,0))</f>
        <v>239</v>
      </c>
      <c r="T193" s="229"/>
      <c r="U193" s="229">
        <f t="shared" ca="1" si="6"/>
        <v>0</v>
      </c>
      <c r="V193" s="229"/>
      <c r="W193" s="229"/>
      <c r="Y193" s="223" t="str">
        <f t="shared" ca="1" si="7"/>
        <v>GoldZhongyuan Gold Smelter of Zhongjin Gold Corporation</v>
      </c>
    </row>
    <row r="194" spans="1:25" s="223" customFormat="1" ht="20.25">
      <c r="A194" s="291" t="s">
        <v>1338</v>
      </c>
      <c r="B194" s="292" t="str">
        <f ca="1">IF(LEN(A194)=0,"",INDEX('Smelter Reference List'!$A:$A,MATCH($A194,'Smelter Reference List'!$E:$E,0)))</f>
        <v>Tantalum</v>
      </c>
      <c r="C194" s="298" t="str">
        <f ca="1">IF(LEN(A194)=0,"",INDEX('Smelter Reference List'!$C:$C,MATCH($A194,'Smelter Reference List'!$E:$E,0)))</f>
        <v>Zhuzhou Cemented Carbide Group Co., Ltd.</v>
      </c>
      <c r="D194" s="292" t="str">
        <f ca="1">IF(ISERROR($S194),"",OFFSET('Smelter Reference List'!$C$4,$S194-4,0)&amp;"")</f>
        <v>Zhuzhou Cemented Carbide Group Co., Ltd.</v>
      </c>
      <c r="E194" s="292" t="str">
        <f ca="1">IF(ISERROR($S194),"",OFFSET('Smelter Reference List'!$D$4,$S194-4,0)&amp;"")</f>
        <v>CHINA</v>
      </c>
      <c r="F194" s="292" t="str">
        <f ca="1">IF(ISERROR($S194),"",OFFSET('Smelter Reference List'!$E$4,$S194-4,0))</f>
        <v>CID002232</v>
      </c>
      <c r="G194" s="292" t="str">
        <f ca="1">IF(C194=$U$4,"Enter smelter details", IF(ISERROR($S194),"",OFFSET('Smelter Reference List'!$F$4,$S194-4,0)))</f>
        <v>CFSI</v>
      </c>
      <c r="H194" s="293">
        <f ca="1">IF(ISERROR($S194),"",OFFSET('Smelter Reference List'!$G$4,$S194-4,0))</f>
        <v>0</v>
      </c>
      <c r="I194" s="294" t="str">
        <f ca="1">IF(ISERROR($S194),"",OFFSET('Smelter Reference List'!$H$4,$S194-4,0))</f>
        <v>Zhuzhou</v>
      </c>
      <c r="J194" s="294" t="str">
        <f ca="1">IF(ISERROR($S194),"",OFFSET('Smelter Reference List'!$I$4,$S194-4,0))</f>
        <v>Hunan</v>
      </c>
      <c r="K194" s="295"/>
      <c r="L194" s="295"/>
      <c r="M194" s="295"/>
      <c r="N194" s="295"/>
      <c r="O194" s="295"/>
      <c r="P194" s="295"/>
      <c r="Q194" s="296"/>
      <c r="R194" s="227"/>
      <c r="S194" s="228">
        <f ca="1">IF(C194="",NA(),MATCH($B194&amp;$C194,'Smelter Reference List'!$J:$J,0))</f>
        <v>306</v>
      </c>
      <c r="T194" s="229"/>
      <c r="U194" s="229">
        <f t="shared" ca="1" si="6"/>
        <v>0</v>
      </c>
      <c r="V194" s="229"/>
      <c r="W194" s="229"/>
      <c r="Y194" s="223" t="str">
        <f t="shared" ca="1" si="7"/>
        <v>TantalumZhuzhou Cemented Carbide Group Co., Ltd.</v>
      </c>
    </row>
    <row r="195" spans="1:25" s="223" customFormat="1" ht="20.25">
      <c r="A195" s="291" t="s">
        <v>1314</v>
      </c>
      <c r="B195" s="292" t="str">
        <f ca="1">IF(LEN(A195)=0,"",INDEX('Smelter Reference List'!$A:$A,MATCH($A195,'Smelter Reference List'!$E:$E,0)))</f>
        <v>Gold</v>
      </c>
      <c r="C195" s="298" t="str">
        <f ca="1">IF(LEN(A195)=0,"",INDEX('Smelter Reference List'!$C:$C,MATCH($A195,'Smelter Reference List'!$E:$E,0)))</f>
        <v>Zijin Mining Group Co., Ltd. Gold Refinery</v>
      </c>
      <c r="D195" s="292" t="str">
        <f ca="1">IF(ISERROR($S195),"",OFFSET('Smelter Reference List'!$C$4,$S195-4,0)&amp;"")</f>
        <v>Zijin Mining Group Co., Ltd. Gold Refinery</v>
      </c>
      <c r="E195" s="292" t="str">
        <f ca="1">IF(ISERROR($S195),"",OFFSET('Smelter Reference List'!$D$4,$S195-4,0)&amp;"")</f>
        <v>CHINA</v>
      </c>
      <c r="F195" s="292" t="str">
        <f ca="1">IF(ISERROR($S195),"",OFFSET('Smelter Reference List'!$E$4,$S195-4,0))</f>
        <v>CID002243</v>
      </c>
      <c r="G195" s="292" t="str">
        <f ca="1">IF(C195=$U$4,"Enter smelter details", IF(ISERROR($S195),"",OFFSET('Smelter Reference List'!$F$4,$S195-4,0)))</f>
        <v>CFSI</v>
      </c>
      <c r="H195" s="293">
        <f ca="1">IF(ISERROR($S195),"",OFFSET('Smelter Reference List'!$G$4,$S195-4,0))</f>
        <v>0</v>
      </c>
      <c r="I195" s="294" t="str">
        <f ca="1">IF(ISERROR($S195),"",OFFSET('Smelter Reference List'!$H$4,$S195-4,0))</f>
        <v>Shanghang</v>
      </c>
      <c r="J195" s="294" t="str">
        <f ca="1">IF(ISERROR($S195),"",OFFSET('Smelter Reference List'!$I$4,$S195-4,0))</f>
        <v>Fujian</v>
      </c>
      <c r="K195" s="295"/>
      <c r="L195" s="295"/>
      <c r="M195" s="295"/>
      <c r="N195" s="295"/>
      <c r="O195" s="295"/>
      <c r="P195" s="295"/>
      <c r="Q195" s="296"/>
      <c r="R195" s="227"/>
      <c r="S195" s="228">
        <f ca="1">IF(C195="",NA(),MATCH($B195&amp;$C195,'Smelter Reference List'!$J:$J,0))</f>
        <v>241</v>
      </c>
      <c r="T195" s="229"/>
      <c r="U195" s="229">
        <f t="shared" ca="1" si="6"/>
        <v>0</v>
      </c>
      <c r="V195" s="229"/>
      <c r="W195" s="229"/>
      <c r="Y195" s="223" t="str">
        <f t="shared" ca="1" si="7"/>
        <v>GoldZijin Mining Group Co., Ltd. Gold Refinery</v>
      </c>
    </row>
    <row r="196" spans="1:25" s="223" customFormat="1" ht="20.25">
      <c r="A196" s="291" t="s">
        <v>77</v>
      </c>
      <c r="B196" s="292" t="str">
        <f ca="1">IF(LEN(A196)=0,"",INDEX('Smelter Reference List'!$A:$A,MATCH($A196,'Smelter Reference List'!$E:$E,0)))</f>
        <v>Tantalum</v>
      </c>
      <c r="C196" s="298" t="str">
        <f ca="1">IF(LEN(A196)=0,"",INDEX('Smelter Reference List'!$C:$C,MATCH($A196,'Smelter Reference List'!$E:$E,0)))</f>
        <v>Yichun Jin Yang Rare Metal Co., Ltd.</v>
      </c>
      <c r="D196" s="292" t="str">
        <f ca="1">IF(ISERROR($S196),"",OFFSET('Smelter Reference List'!$C$4,$S196-4,0)&amp;"")</f>
        <v>Yichun Jin Yang Rare Metal Co., Ltd.</v>
      </c>
      <c r="E196" s="292" t="str">
        <f ca="1">IF(ISERROR($S196),"",OFFSET('Smelter Reference List'!$D$4,$S196-4,0)&amp;"")</f>
        <v>CHINA</v>
      </c>
      <c r="F196" s="292" t="str">
        <f ca="1">IF(ISERROR($S196),"",OFFSET('Smelter Reference List'!$E$4,$S196-4,0))</f>
        <v>CID002307</v>
      </c>
      <c r="G196" s="292" t="str">
        <f ca="1">IF(C196=$U$4,"Enter smelter details", IF(ISERROR($S196),"",OFFSET('Smelter Reference List'!$F$4,$S196-4,0)))</f>
        <v>CFSI</v>
      </c>
      <c r="H196" s="293">
        <f ca="1">IF(ISERROR($S196),"",OFFSET('Smelter Reference List'!$G$4,$S196-4,0))</f>
        <v>0</v>
      </c>
      <c r="I196" s="294" t="str">
        <f ca="1">IF(ISERROR($S196),"",OFFSET('Smelter Reference List'!$H$4,$S196-4,0))</f>
        <v>Yifeng</v>
      </c>
      <c r="J196" s="294" t="str">
        <f ca="1">IF(ISERROR($S196),"",OFFSET('Smelter Reference List'!$I$4,$S196-4,0))</f>
        <v>Jiangxi</v>
      </c>
      <c r="K196" s="295"/>
      <c r="L196" s="295"/>
      <c r="M196" s="295"/>
      <c r="N196" s="295"/>
      <c r="O196" s="295"/>
      <c r="P196" s="295"/>
      <c r="Q196" s="296"/>
      <c r="R196" s="227"/>
      <c r="S196" s="228">
        <f ca="1">IF(C196="",NA(),MATCH($B196&amp;$C196,'Smelter Reference List'!$J:$J,0))</f>
        <v>303</v>
      </c>
      <c r="T196" s="229"/>
      <c r="U196" s="229">
        <f t="shared" ca="1" si="6"/>
        <v>0</v>
      </c>
      <c r="V196" s="229"/>
      <c r="W196" s="229"/>
      <c r="Y196" s="223" t="str">
        <f t="shared" ca="1" si="7"/>
        <v>TantalumYichun Jin Yang Rare Metal Co., Ltd.</v>
      </c>
    </row>
    <row r="197" spans="1:25" s="223" customFormat="1" ht="20.25">
      <c r="A197" s="291" t="s">
        <v>1240</v>
      </c>
      <c r="B197" s="292" t="str">
        <f ca="1">IF(LEN(A197)=0,"",INDEX('Smelter Reference List'!$A:$A,MATCH($A197,'Smelter Reference List'!$E:$E,0)))</f>
        <v>Gold</v>
      </c>
      <c r="C197" s="298" t="str">
        <f ca="1">IF(LEN(A197)=0,"",INDEX('Smelter Reference List'!$C:$C,MATCH($A197,'Smelter Reference List'!$E:$E,0)))</f>
        <v>Guangdong Jinding Gold Limited</v>
      </c>
      <c r="D197" s="292" t="str">
        <f ca="1">IF(ISERROR($S197),"",OFFSET('Smelter Reference List'!$C$4,$S197-4,0)&amp;"")</f>
        <v>Guangdong Jinding Gold Limited</v>
      </c>
      <c r="E197" s="292" t="str">
        <f ca="1">IF(ISERROR($S197),"",OFFSET('Smelter Reference List'!$D$4,$S197-4,0)&amp;"")</f>
        <v>CHINA</v>
      </c>
      <c r="F197" s="292" t="str">
        <f ca="1">IF(ISERROR($S197),"",OFFSET('Smelter Reference List'!$E$4,$S197-4,0))</f>
        <v>CID002312</v>
      </c>
      <c r="G197" s="292" t="str">
        <f ca="1">IF(C197=$U$4,"Enter smelter details", IF(ISERROR($S197),"",OFFSET('Smelter Reference List'!$F$4,$S197-4,0)))</f>
        <v>CFSI</v>
      </c>
      <c r="H197" s="293">
        <f ca="1">IF(ISERROR($S197),"",OFFSET('Smelter Reference List'!$G$4,$S197-4,0))</f>
        <v>0</v>
      </c>
      <c r="I197" s="294" t="str">
        <f ca="1">IF(ISERROR($S197),"",OFFSET('Smelter Reference List'!$H$4,$S197-4,0))</f>
        <v>Guangzhou</v>
      </c>
      <c r="J197" s="294" t="str">
        <f ca="1">IF(ISERROR($S197),"",OFFSET('Smelter Reference List'!$I$4,$S197-4,0))</f>
        <v>Guangdong</v>
      </c>
      <c r="K197" s="295"/>
      <c r="L197" s="295"/>
      <c r="M197" s="295"/>
      <c r="N197" s="295"/>
      <c r="O197" s="295"/>
      <c r="P197" s="295"/>
      <c r="Q197" s="296"/>
      <c r="R197" s="227"/>
      <c r="S197" s="228">
        <f ca="1">IF(C197="",NA(),MATCH($B197&amp;$C197,'Smelter Reference List'!$J:$J,0))</f>
        <v>68</v>
      </c>
      <c r="T197" s="229"/>
      <c r="U197" s="229">
        <f t="shared" ref="U197:U260" ca="1" si="8">IF(AND(C197="Smelter not listed",OR(LEN(D197)=0,LEN(E197)=0)),1,0)</f>
        <v>0</v>
      </c>
      <c r="V197" s="229"/>
      <c r="W197" s="229"/>
      <c r="Y197" s="223" t="str">
        <f t="shared" ref="Y197:Y260" ca="1" si="9">B197&amp;C197</f>
        <v>GoldGuangdong Jinding Gold Limited</v>
      </c>
    </row>
    <row r="198" spans="1:25" s="223" customFormat="1" ht="20.25">
      <c r="A198" s="291" t="s">
        <v>1401</v>
      </c>
      <c r="B198" s="292" t="str">
        <f ca="1">IF(LEN(A198)=0,"",INDEX('Smelter Reference List'!$A:$A,MATCH($A198,'Smelter Reference List'!$E:$E,0)))</f>
        <v>Tungsten</v>
      </c>
      <c r="C198" s="298" t="str">
        <f ca="1">IF(LEN(A198)=0,"",INDEX('Smelter Reference List'!$C:$C,MATCH($A198,'Smelter Reference List'!$E:$E,0)))</f>
        <v>Jiangxi Minmetals Gao'an Non-ferrous Metals Co., Ltd.</v>
      </c>
      <c r="D198" s="292" t="str">
        <f ca="1">IF(ISERROR($S198),"",OFFSET('Smelter Reference List'!$C$4,$S198-4,0)&amp;"")</f>
        <v>Jiangxi Minmetals Gao'an Non-ferrous Metals Co., Ltd.</v>
      </c>
      <c r="E198" s="292" t="str">
        <f ca="1">IF(ISERROR($S198),"",OFFSET('Smelter Reference List'!$D$4,$S198-4,0)&amp;"")</f>
        <v>CHINA</v>
      </c>
      <c r="F198" s="292" t="str">
        <f ca="1">IF(ISERROR($S198),"",OFFSET('Smelter Reference List'!$E$4,$S198-4,0))</f>
        <v>CID002313</v>
      </c>
      <c r="G198" s="292" t="str">
        <f ca="1">IF(C198=$U$4,"Enter smelter details", IF(ISERROR($S198),"",OFFSET('Smelter Reference List'!$F$4,$S198-4,0)))</f>
        <v>CFSI</v>
      </c>
      <c r="H198" s="293">
        <f ca="1">IF(ISERROR($S198),"",OFFSET('Smelter Reference List'!$G$4,$S198-4,0))</f>
        <v>0</v>
      </c>
      <c r="I198" s="294" t="str">
        <f ca="1">IF(ISERROR($S198),"",OFFSET('Smelter Reference List'!$H$4,$S198-4,0))</f>
        <v>Gao'an</v>
      </c>
      <c r="J198" s="294" t="str">
        <f ca="1">IF(ISERROR($S198),"",OFFSET('Smelter Reference List'!$I$4,$S198-4,0))</f>
        <v>Jiangxi</v>
      </c>
      <c r="K198" s="295"/>
      <c r="L198" s="295"/>
      <c r="M198" s="295"/>
      <c r="N198" s="295"/>
      <c r="O198" s="295"/>
      <c r="P198" s="295"/>
      <c r="Q198" s="296"/>
      <c r="R198" s="227"/>
      <c r="S198" s="228">
        <f ca="1">IF(C198="",NA(),MATCH($B198&amp;$C198,'Smelter Reference List'!$J:$J,0))</f>
        <v>500</v>
      </c>
      <c r="T198" s="229"/>
      <c r="U198" s="229">
        <f t="shared" ca="1" si="8"/>
        <v>0</v>
      </c>
      <c r="V198" s="229"/>
      <c r="W198" s="229"/>
      <c r="Y198" s="223" t="str">
        <f t="shared" ca="1" si="9"/>
        <v>TungstenJiangxi Minmetals Gao'an Non-ferrous Metals Co., Ltd.</v>
      </c>
    </row>
    <row r="199" spans="1:25" s="223" customFormat="1" ht="20.25">
      <c r="A199" s="291" t="s">
        <v>205</v>
      </c>
      <c r="B199" s="292" t="str">
        <f ca="1">IF(LEN(A199)=0,"",INDEX('Smelter Reference List'!$A:$A,MATCH($A199,'Smelter Reference List'!$E:$E,0)))</f>
        <v>Gold</v>
      </c>
      <c r="C199" s="298" t="str">
        <f ca="1">IF(LEN(A199)=0,"",INDEX('Smelter Reference List'!$C:$C,MATCH($A199,'Smelter Reference List'!$E:$E,0)))</f>
        <v>Umicore Precious Metals Thailand</v>
      </c>
      <c r="D199" s="292" t="str">
        <f ca="1">IF(ISERROR($S199),"",OFFSET('Smelter Reference List'!$C$4,$S199-4,0)&amp;"")</f>
        <v>Umicore Precious Metals Thailand</v>
      </c>
      <c r="E199" s="292" t="str">
        <f ca="1">IF(ISERROR($S199),"",OFFSET('Smelter Reference List'!$D$4,$S199-4,0)&amp;"")</f>
        <v>THAILAND</v>
      </c>
      <c r="F199" s="292" t="str">
        <f ca="1">IF(ISERROR($S199),"",OFFSET('Smelter Reference List'!$E$4,$S199-4,0))</f>
        <v>CID002314</v>
      </c>
      <c r="G199" s="292" t="str">
        <f ca="1">IF(C199=$U$4,"Enter smelter details", IF(ISERROR($S199),"",OFFSET('Smelter Reference List'!$F$4,$S199-4,0)))</f>
        <v>CFSI</v>
      </c>
      <c r="H199" s="293">
        <f ca="1">IF(ISERROR($S199),"",OFFSET('Smelter Reference List'!$G$4,$S199-4,0))</f>
        <v>0</v>
      </c>
      <c r="I199" s="294" t="str">
        <f ca="1">IF(ISERROR($S199),"",OFFSET('Smelter Reference List'!$H$4,$S199-4,0))</f>
        <v>Dokmai</v>
      </c>
      <c r="J199" s="294" t="str">
        <f ca="1">IF(ISERROR($S199),"",OFFSET('Smelter Reference List'!$I$4,$S199-4,0))</f>
        <v>Pravet</v>
      </c>
      <c r="K199" s="295"/>
      <c r="L199" s="295"/>
      <c r="M199" s="295"/>
      <c r="N199" s="295"/>
      <c r="O199" s="295"/>
      <c r="P199" s="295"/>
      <c r="Q199" s="296"/>
      <c r="R199" s="227"/>
      <c r="S199" s="228">
        <f ca="1">IF(C199="",NA(),MATCH($B199&amp;$C199,'Smelter Reference List'!$J:$J,0))</f>
        <v>218</v>
      </c>
      <c r="T199" s="229"/>
      <c r="U199" s="229">
        <f t="shared" ca="1" si="8"/>
        <v>0</v>
      </c>
      <c r="V199" s="229"/>
      <c r="W199" s="229"/>
      <c r="Y199" s="223" t="str">
        <f t="shared" ca="1" si="9"/>
        <v>GoldUmicore Precious Metals Thailand</v>
      </c>
    </row>
    <row r="200" spans="1:25" s="223" customFormat="1" ht="20.25">
      <c r="A200" s="291" t="s">
        <v>198</v>
      </c>
      <c r="B200" s="292" t="str">
        <f ca="1">IF(LEN(A200)=0,"",INDEX('Smelter Reference List'!$A:$A,MATCH($A200,'Smelter Reference List'!$E:$E,0)))</f>
        <v>Tungsten</v>
      </c>
      <c r="C200" s="298" t="str">
        <f ca="1">IF(LEN(A200)=0,"",INDEX('Smelter Reference List'!$C:$C,MATCH($A200,'Smelter Reference List'!$E:$E,0)))</f>
        <v>Ganzhou Jiangwu Ferrotungsten Co., Ltd.</v>
      </c>
      <c r="D200" s="292" t="str">
        <f ca="1">IF(ISERROR($S200),"",OFFSET('Smelter Reference List'!$C$4,$S200-4,0)&amp;"")</f>
        <v>Ganzhou Jiangwu Ferrotungsten Co., Ltd.</v>
      </c>
      <c r="E200" s="292" t="str">
        <f ca="1">IF(ISERROR($S200),"",OFFSET('Smelter Reference List'!$D$4,$S200-4,0)&amp;"")</f>
        <v>CHINA</v>
      </c>
      <c r="F200" s="292" t="str">
        <f ca="1">IF(ISERROR($S200),"",OFFSET('Smelter Reference List'!$E$4,$S200-4,0))</f>
        <v>CID002315</v>
      </c>
      <c r="G200" s="292" t="str">
        <f ca="1">IF(C200=$U$4,"Enter smelter details", IF(ISERROR($S200),"",OFFSET('Smelter Reference List'!$F$4,$S200-4,0)))</f>
        <v>CFSI</v>
      </c>
      <c r="H200" s="293">
        <f ca="1">IF(ISERROR($S200),"",OFFSET('Smelter Reference List'!$G$4,$S200-4,0))</f>
        <v>0</v>
      </c>
      <c r="I200" s="294" t="str">
        <f ca="1">IF(ISERROR($S200),"",OFFSET('Smelter Reference List'!$H$4,$S200-4,0))</f>
        <v>Ganzhou</v>
      </c>
      <c r="J200" s="294" t="str">
        <f ca="1">IF(ISERROR($S200),"",OFFSET('Smelter Reference List'!$I$4,$S200-4,0))</f>
        <v>Jiangxi</v>
      </c>
      <c r="K200" s="295"/>
      <c r="L200" s="295"/>
      <c r="M200" s="295"/>
      <c r="N200" s="295"/>
      <c r="O200" s="295"/>
      <c r="P200" s="295"/>
      <c r="Q200" s="296"/>
      <c r="R200" s="227"/>
      <c r="S200" s="228">
        <f ca="1">IF(C200="",NA(),MATCH($B200&amp;$C200,'Smelter Reference List'!$J:$J,0))</f>
        <v>482</v>
      </c>
      <c r="T200" s="229"/>
      <c r="U200" s="229">
        <f t="shared" ca="1" si="8"/>
        <v>0</v>
      </c>
      <c r="V200" s="229"/>
      <c r="W200" s="229"/>
      <c r="Y200" s="223" t="str">
        <f t="shared" ca="1" si="9"/>
        <v>TungstenGanzhou Jiangwu Ferrotungsten Co., Ltd.</v>
      </c>
    </row>
    <row r="201" spans="1:25" s="223" customFormat="1" ht="20.25">
      <c r="A201" s="291" t="s">
        <v>199</v>
      </c>
      <c r="B201" s="292" t="str">
        <f ca="1">IF(LEN(A201)=0,"",INDEX('Smelter Reference List'!$A:$A,MATCH($A201,'Smelter Reference List'!$E:$E,0)))</f>
        <v>Tungsten</v>
      </c>
      <c r="C201" s="298" t="str">
        <f ca="1">IF(LEN(A201)=0,"",INDEX('Smelter Reference List'!$C:$C,MATCH($A201,'Smelter Reference List'!$E:$E,0)))</f>
        <v>Jiangxi Yaosheng Tungsten Co., Ltd.</v>
      </c>
      <c r="D201" s="292" t="str">
        <f ca="1">IF(ISERROR($S201),"",OFFSET('Smelter Reference List'!$C$4,$S201-4,0)&amp;"")</f>
        <v>Jiangxi Yaosheng Tungsten Co., Ltd.</v>
      </c>
      <c r="E201" s="292" t="str">
        <f ca="1">IF(ISERROR($S201),"",OFFSET('Smelter Reference List'!$D$4,$S201-4,0)&amp;"")</f>
        <v>CHINA</v>
      </c>
      <c r="F201" s="292" t="str">
        <f ca="1">IF(ISERROR($S201),"",OFFSET('Smelter Reference List'!$E$4,$S201-4,0))</f>
        <v>CID002316</v>
      </c>
      <c r="G201" s="292" t="str">
        <f ca="1">IF(C201=$U$4,"Enter smelter details", IF(ISERROR($S201),"",OFFSET('Smelter Reference List'!$F$4,$S201-4,0)))</f>
        <v>CFSI</v>
      </c>
      <c r="H201" s="293">
        <f ca="1">IF(ISERROR($S201),"",OFFSET('Smelter Reference List'!$G$4,$S201-4,0))</f>
        <v>0</v>
      </c>
      <c r="I201" s="294" t="str">
        <f ca="1">IF(ISERROR($S201),"",OFFSET('Smelter Reference List'!$H$4,$S201-4,0))</f>
        <v>Ganzhou</v>
      </c>
      <c r="J201" s="294" t="str">
        <f ca="1">IF(ISERROR($S201),"",OFFSET('Smelter Reference List'!$I$4,$S201-4,0))</f>
        <v>Jiangxi</v>
      </c>
      <c r="K201" s="295"/>
      <c r="L201" s="295"/>
      <c r="M201" s="295"/>
      <c r="N201" s="295"/>
      <c r="O201" s="295"/>
      <c r="P201" s="295"/>
      <c r="Q201" s="296"/>
      <c r="R201" s="227"/>
      <c r="S201" s="228">
        <f ca="1">IF(C201="",NA(),MATCH($B201&amp;$C201,'Smelter Reference List'!$J:$J,0))</f>
        <v>506</v>
      </c>
      <c r="T201" s="229"/>
      <c r="U201" s="229">
        <f t="shared" ca="1" si="8"/>
        <v>0</v>
      </c>
      <c r="V201" s="229"/>
      <c r="W201" s="229"/>
      <c r="Y201" s="223" t="str">
        <f t="shared" ca="1" si="9"/>
        <v>TungstenJiangxi Yaosheng Tungsten Co., Ltd.</v>
      </c>
    </row>
    <row r="202" spans="1:25" s="223" customFormat="1" ht="20.25">
      <c r="A202" s="291" t="s">
        <v>200</v>
      </c>
      <c r="B202" s="292" t="str">
        <f ca="1">IF(LEN(A202)=0,"",INDEX('Smelter Reference List'!$A:$A,MATCH($A202,'Smelter Reference List'!$E:$E,0)))</f>
        <v>Tungsten</v>
      </c>
      <c r="C202" s="298" t="str">
        <f ca="1">IF(LEN(A202)=0,"",INDEX('Smelter Reference List'!$C:$C,MATCH($A202,'Smelter Reference List'!$E:$E,0)))</f>
        <v>Jiangxi Xinsheng Tungsten Industry Co., Ltd.</v>
      </c>
      <c r="D202" s="292" t="str">
        <f ca="1">IF(ISERROR($S202),"",OFFSET('Smelter Reference List'!$C$4,$S202-4,0)&amp;"")</f>
        <v>Jiangxi Xinsheng Tungsten Industry Co., Ltd.</v>
      </c>
      <c r="E202" s="292" t="str">
        <f ca="1">IF(ISERROR($S202),"",OFFSET('Smelter Reference List'!$D$4,$S202-4,0)&amp;"")</f>
        <v>CHINA</v>
      </c>
      <c r="F202" s="292" t="str">
        <f ca="1">IF(ISERROR($S202),"",OFFSET('Smelter Reference List'!$E$4,$S202-4,0))</f>
        <v>CID002317</v>
      </c>
      <c r="G202" s="292" t="str">
        <f ca="1">IF(C202=$U$4,"Enter smelter details", IF(ISERROR($S202),"",OFFSET('Smelter Reference List'!$F$4,$S202-4,0)))</f>
        <v>CFSI</v>
      </c>
      <c r="H202" s="293">
        <f ca="1">IF(ISERROR($S202),"",OFFSET('Smelter Reference List'!$G$4,$S202-4,0))</f>
        <v>0</v>
      </c>
      <c r="I202" s="294" t="str">
        <f ca="1">IF(ISERROR($S202),"",OFFSET('Smelter Reference List'!$H$4,$S202-4,0))</f>
        <v>Ganzhou</v>
      </c>
      <c r="J202" s="294" t="str">
        <f ca="1">IF(ISERROR($S202),"",OFFSET('Smelter Reference List'!$I$4,$S202-4,0))</f>
        <v>Jiangxi</v>
      </c>
      <c r="K202" s="295"/>
      <c r="L202" s="295"/>
      <c r="M202" s="295"/>
      <c r="N202" s="295"/>
      <c r="O202" s="295"/>
      <c r="P202" s="295"/>
      <c r="Q202" s="296"/>
      <c r="R202" s="227"/>
      <c r="S202" s="228">
        <f ca="1">IF(C202="",NA(),MATCH($B202&amp;$C202,'Smelter Reference List'!$J:$J,0))</f>
        <v>504</v>
      </c>
      <c r="T202" s="229"/>
      <c r="U202" s="229">
        <f t="shared" ca="1" si="8"/>
        <v>0</v>
      </c>
      <c r="V202" s="229"/>
      <c r="W202" s="229"/>
      <c r="Y202" s="223" t="str">
        <f t="shared" ca="1" si="9"/>
        <v>TungstenJiangxi Xinsheng Tungsten Industry Co., Ltd.</v>
      </c>
    </row>
    <row r="203" spans="1:25" s="223" customFormat="1" ht="20.25">
      <c r="A203" s="291" t="s">
        <v>201</v>
      </c>
      <c r="B203" s="292" t="str">
        <f ca="1">IF(LEN(A203)=0,"",INDEX('Smelter Reference List'!$A:$A,MATCH($A203,'Smelter Reference List'!$E:$E,0)))</f>
        <v>Tungsten</v>
      </c>
      <c r="C203" s="298" t="str">
        <f ca="1">IF(LEN(A203)=0,"",INDEX('Smelter Reference List'!$C:$C,MATCH($A203,'Smelter Reference List'!$E:$E,0)))</f>
        <v>Jiangxi Tonggu Non-ferrous Metallurgical &amp; Chemical Co., Ltd.</v>
      </c>
      <c r="D203" s="292" t="str">
        <f ca="1">IF(ISERROR($S203),"",OFFSET('Smelter Reference List'!$C$4,$S203-4,0)&amp;"")</f>
        <v>Jiangxi Tonggu Non-ferrous Metallurgical &amp; Chemical Co., Ltd.</v>
      </c>
      <c r="E203" s="292" t="str">
        <f ca="1">IF(ISERROR($S203),"",OFFSET('Smelter Reference List'!$D$4,$S203-4,0)&amp;"")</f>
        <v>CHINA</v>
      </c>
      <c r="F203" s="292" t="str">
        <f ca="1">IF(ISERROR($S203),"",OFFSET('Smelter Reference List'!$E$4,$S203-4,0))</f>
        <v>CID002318</v>
      </c>
      <c r="G203" s="292" t="str">
        <f ca="1">IF(C203=$U$4,"Enter smelter details", IF(ISERROR($S203),"",OFFSET('Smelter Reference List'!$F$4,$S203-4,0)))</f>
        <v>CFSI</v>
      </c>
      <c r="H203" s="293">
        <f ca="1">IF(ISERROR($S203),"",OFFSET('Smelter Reference List'!$G$4,$S203-4,0))</f>
        <v>0</v>
      </c>
      <c r="I203" s="294" t="str">
        <f ca="1">IF(ISERROR($S203),"",OFFSET('Smelter Reference List'!$H$4,$S203-4,0))</f>
        <v>Tonggu</v>
      </c>
      <c r="J203" s="294" t="str">
        <f ca="1">IF(ISERROR($S203),"",OFFSET('Smelter Reference List'!$I$4,$S203-4,0))</f>
        <v>Jiangxi</v>
      </c>
      <c r="K203" s="295"/>
      <c r="L203" s="295"/>
      <c r="M203" s="295"/>
      <c r="N203" s="295"/>
      <c r="O203" s="295"/>
      <c r="P203" s="295"/>
      <c r="Q203" s="296"/>
      <c r="R203" s="227"/>
      <c r="S203" s="228">
        <f ca="1">IF(C203="",NA(),MATCH($B203&amp;$C203,'Smelter Reference List'!$J:$J,0))</f>
        <v>501</v>
      </c>
      <c r="T203" s="229"/>
      <c r="U203" s="229">
        <f t="shared" ca="1" si="8"/>
        <v>0</v>
      </c>
      <c r="V203" s="229"/>
      <c r="W203" s="229"/>
      <c r="Y203" s="223" t="str">
        <f t="shared" ca="1" si="9"/>
        <v>TungstenJiangxi Tonggu Non-ferrous Metallurgical &amp; Chemical Co., Ltd.</v>
      </c>
    </row>
    <row r="204" spans="1:25" s="223" customFormat="1" ht="20.25">
      <c r="A204" s="291" t="s">
        <v>202</v>
      </c>
      <c r="B204" s="292" t="str">
        <f ca="1">IF(LEN(A204)=0,"",INDEX('Smelter Reference List'!$A:$A,MATCH($A204,'Smelter Reference List'!$E:$E,0)))</f>
        <v>Tungsten</v>
      </c>
      <c r="C204" s="298" t="str">
        <f ca="1">IF(LEN(A204)=0,"",INDEX('Smelter Reference List'!$C:$C,MATCH($A204,'Smelter Reference List'!$E:$E,0)))</f>
        <v>Malipo Haiyu Tungsten Co., Ltd.</v>
      </c>
      <c r="D204" s="292" t="str">
        <f ca="1">IF(ISERROR($S204),"",OFFSET('Smelter Reference List'!$C$4,$S204-4,0)&amp;"")</f>
        <v>Malipo Haiyu Tungsten Co., Ltd.</v>
      </c>
      <c r="E204" s="292" t="str">
        <f ca="1">IF(ISERROR($S204),"",OFFSET('Smelter Reference List'!$D$4,$S204-4,0)&amp;"")</f>
        <v>CHINA</v>
      </c>
      <c r="F204" s="292" t="str">
        <f ca="1">IF(ISERROR($S204),"",OFFSET('Smelter Reference List'!$E$4,$S204-4,0))</f>
        <v>CID002319</v>
      </c>
      <c r="G204" s="292" t="str">
        <f ca="1">IF(C204=$U$4,"Enter smelter details", IF(ISERROR($S204),"",OFFSET('Smelter Reference List'!$F$4,$S204-4,0)))</f>
        <v>CFSI</v>
      </c>
      <c r="H204" s="293">
        <f ca="1">IF(ISERROR($S204),"",OFFSET('Smelter Reference List'!$G$4,$S204-4,0))</f>
        <v>0</v>
      </c>
      <c r="I204" s="294" t="str">
        <f ca="1">IF(ISERROR($S204),"",OFFSET('Smelter Reference List'!$H$4,$S204-4,0))</f>
        <v>Nanfeng Xiaozhai</v>
      </c>
      <c r="J204" s="294" t="str">
        <f ca="1">IF(ISERROR($S204),"",OFFSET('Smelter Reference List'!$I$4,$S204-4,0))</f>
        <v>Yunnan</v>
      </c>
      <c r="K204" s="295"/>
      <c r="L204" s="295"/>
      <c r="M204" s="295"/>
      <c r="N204" s="295"/>
      <c r="O204" s="295"/>
      <c r="P204" s="295"/>
      <c r="Q204" s="296"/>
      <c r="R204" s="227"/>
      <c r="S204" s="228">
        <f ca="1">IF(C204="",NA(),MATCH($B204&amp;$C204,'Smelter Reference List'!$J:$J,0))</f>
        <v>509</v>
      </c>
      <c r="T204" s="229"/>
      <c r="U204" s="229">
        <f t="shared" ca="1" si="8"/>
        <v>0</v>
      </c>
      <c r="V204" s="229"/>
      <c r="W204" s="229"/>
      <c r="Y204" s="223" t="str">
        <f t="shared" ca="1" si="9"/>
        <v>TungstenMalipo Haiyu Tungsten Co., Ltd.</v>
      </c>
    </row>
    <row r="205" spans="1:25" s="223" customFormat="1" ht="20.25">
      <c r="A205" s="291" t="s">
        <v>203</v>
      </c>
      <c r="B205" s="292" t="str">
        <f ca="1">IF(LEN(A205)=0,"",INDEX('Smelter Reference List'!$A:$A,MATCH($A205,'Smelter Reference List'!$E:$E,0)))</f>
        <v>Tungsten</v>
      </c>
      <c r="C205" s="298" t="str">
        <f ca="1">IF(LEN(A205)=0,"",INDEX('Smelter Reference List'!$C:$C,MATCH($A205,'Smelter Reference List'!$E:$E,0)))</f>
        <v>Xiamen Tungsten (H.C.) Co., Ltd.</v>
      </c>
      <c r="D205" s="292" t="str">
        <f ca="1">IF(ISERROR($S205),"",OFFSET('Smelter Reference List'!$C$4,$S205-4,0)&amp;"")</f>
        <v>Xiamen Tungsten (H.C.) Co., Ltd.</v>
      </c>
      <c r="E205" s="292" t="str">
        <f ca="1">IF(ISERROR($S205),"",OFFSET('Smelter Reference List'!$D$4,$S205-4,0)&amp;"")</f>
        <v>CHINA</v>
      </c>
      <c r="F205" s="292" t="str">
        <f ca="1">IF(ISERROR($S205),"",OFFSET('Smelter Reference List'!$E$4,$S205-4,0))</f>
        <v>CID002320</v>
      </c>
      <c r="G205" s="292" t="str">
        <f ca="1">IF(C205=$U$4,"Enter smelter details", IF(ISERROR($S205),"",OFFSET('Smelter Reference List'!$F$4,$S205-4,0)))</f>
        <v>CFSI</v>
      </c>
      <c r="H205" s="293">
        <f ca="1">IF(ISERROR($S205),"",OFFSET('Smelter Reference List'!$G$4,$S205-4,0))</f>
        <v>0</v>
      </c>
      <c r="I205" s="294" t="str">
        <f ca="1">IF(ISERROR($S205),"",OFFSET('Smelter Reference List'!$H$4,$S205-4,0))</f>
        <v>Xiamen</v>
      </c>
      <c r="J205" s="294" t="str">
        <f ca="1">IF(ISERROR($S205),"",OFFSET('Smelter Reference List'!$I$4,$S205-4,0))</f>
        <v>Fujian</v>
      </c>
      <c r="K205" s="295"/>
      <c r="L205" s="295"/>
      <c r="M205" s="295"/>
      <c r="N205" s="295"/>
      <c r="O205" s="295"/>
      <c r="P205" s="295"/>
      <c r="Q205" s="296"/>
      <c r="R205" s="227"/>
      <c r="S205" s="228">
        <f ca="1">IF(C205="",NA(),MATCH($B205&amp;$C205,'Smelter Reference List'!$J:$J,0))</f>
        <v>524</v>
      </c>
      <c r="T205" s="229"/>
      <c r="U205" s="229">
        <f t="shared" ca="1" si="8"/>
        <v>0</v>
      </c>
      <c r="V205" s="229"/>
      <c r="W205" s="229"/>
      <c r="Y205" s="223" t="str">
        <f t="shared" ca="1" si="9"/>
        <v>TungstenXiamen Tungsten (H.C.) Co., Ltd.</v>
      </c>
    </row>
    <row r="206" spans="1:25" s="223" customFormat="1" ht="20.25">
      <c r="A206" s="291" t="s">
        <v>196</v>
      </c>
      <c r="B206" s="292" t="str">
        <f ca="1">IF(LEN(A206)=0,"",INDEX('Smelter Reference List'!$A:$A,MATCH($A206,'Smelter Reference List'!$E:$E,0)))</f>
        <v>Tungsten</v>
      </c>
      <c r="C206" s="298" t="str">
        <f ca="1">IF(LEN(A206)=0,"",INDEX('Smelter Reference List'!$C:$C,MATCH($A206,'Smelter Reference List'!$E:$E,0)))</f>
        <v>Jiangxi Gan Bei Tungsten Co., Ltd.</v>
      </c>
      <c r="D206" s="292" t="str">
        <f ca="1">IF(ISERROR($S206),"",OFFSET('Smelter Reference List'!$C$4,$S206-4,0)&amp;"")</f>
        <v>Jiangxi Gan Bei Tungsten Co., Ltd.</v>
      </c>
      <c r="E206" s="292" t="str">
        <f ca="1">IF(ISERROR($S206),"",OFFSET('Smelter Reference List'!$D$4,$S206-4,0)&amp;"")</f>
        <v>CHINA</v>
      </c>
      <c r="F206" s="292" t="str">
        <f ca="1">IF(ISERROR($S206),"",OFFSET('Smelter Reference List'!$E$4,$S206-4,0))</f>
        <v>CID002321</v>
      </c>
      <c r="G206" s="292" t="str">
        <f ca="1">IF(C206=$U$4,"Enter smelter details", IF(ISERROR($S206),"",OFFSET('Smelter Reference List'!$F$4,$S206-4,0)))</f>
        <v>CFSI</v>
      </c>
      <c r="H206" s="293">
        <f ca="1">IF(ISERROR($S206),"",OFFSET('Smelter Reference List'!$G$4,$S206-4,0))</f>
        <v>0</v>
      </c>
      <c r="I206" s="294" t="str">
        <f ca="1">IF(ISERROR($S206),"",OFFSET('Smelter Reference List'!$H$4,$S206-4,0))</f>
        <v>Xiushui</v>
      </c>
      <c r="J206" s="294" t="str">
        <f ca="1">IF(ISERROR($S206),"",OFFSET('Smelter Reference List'!$I$4,$S206-4,0))</f>
        <v>Jiangxi</v>
      </c>
      <c r="K206" s="295"/>
      <c r="L206" s="295"/>
      <c r="M206" s="295"/>
      <c r="N206" s="295"/>
      <c r="O206" s="295"/>
      <c r="P206" s="295"/>
      <c r="Q206" s="296"/>
      <c r="R206" s="227"/>
      <c r="S206" s="228">
        <f ca="1">IF(C206="",NA(),MATCH($B206&amp;$C206,'Smelter Reference List'!$J:$J,0))</f>
        <v>499</v>
      </c>
      <c r="T206" s="229"/>
      <c r="U206" s="229">
        <f t="shared" ca="1" si="8"/>
        <v>0</v>
      </c>
      <c r="V206" s="229"/>
      <c r="W206" s="229"/>
      <c r="Y206" s="223" t="str">
        <f t="shared" ca="1" si="9"/>
        <v>TungstenJiangxi Gan Bei Tungsten Co., Ltd.</v>
      </c>
    </row>
    <row r="207" spans="1:25" s="223" customFormat="1" ht="20.25">
      <c r="A207" s="291" t="s">
        <v>2657</v>
      </c>
      <c r="B207" s="292" t="str">
        <f ca="1">IF(LEN(A207)=0,"",INDEX('Smelter Reference List'!$A:$A,MATCH($A207,'Smelter Reference List'!$E:$E,0)))</f>
        <v>Tin</v>
      </c>
      <c r="C207" s="298" t="str">
        <f ca="1">IF(LEN(A207)=0,"",INDEX('Smelter Reference List'!$C:$C,MATCH($A207,'Smelter Reference List'!$E:$E,0)))</f>
        <v>CV Venus Inti Perkasa</v>
      </c>
      <c r="D207" s="292" t="str">
        <f ca="1">IF(ISERROR($S207),"",OFFSET('Smelter Reference List'!$C$4,$S207-4,0)&amp;"")</f>
        <v>CV Venus Inti Perkasa</v>
      </c>
      <c r="E207" s="292" t="str">
        <f ca="1">IF(ISERROR($S207),"",OFFSET('Smelter Reference List'!$D$4,$S207-4,0)&amp;"")</f>
        <v>INDONESIA</v>
      </c>
      <c r="F207" s="292" t="str">
        <f ca="1">IF(ISERROR($S207),"",OFFSET('Smelter Reference List'!$E$4,$S207-4,0))</f>
        <v>CID002455</v>
      </c>
      <c r="G207" s="292" t="str">
        <f ca="1">IF(C207=$U$4,"Enter smelter details", IF(ISERROR($S207),"",OFFSET('Smelter Reference List'!$F$4,$S207-4,0)))</f>
        <v>CFSI</v>
      </c>
      <c r="H207" s="293">
        <f ca="1">IF(ISERROR($S207),"",OFFSET('Smelter Reference List'!$G$4,$S207-4,0))</f>
        <v>0</v>
      </c>
      <c r="I207" s="294" t="str">
        <f ca="1">IF(ISERROR($S207),"",OFFSET('Smelter Reference List'!$H$4,$S207-4,0))</f>
        <v>Pangkal Pinang</v>
      </c>
      <c r="J207" s="294" t="str">
        <f ca="1">IF(ISERROR($S207),"",OFFSET('Smelter Reference List'!$I$4,$S207-4,0))</f>
        <v>Bangka</v>
      </c>
      <c r="K207" s="295"/>
      <c r="L207" s="295"/>
      <c r="M207" s="295"/>
      <c r="N207" s="295"/>
      <c r="O207" s="295"/>
      <c r="P207" s="295"/>
      <c r="Q207" s="296"/>
      <c r="R207" s="227"/>
      <c r="S207" s="228">
        <f ca="1">IF(C207="",NA(),MATCH($B207&amp;$C207,'Smelter Reference List'!$J:$J,0))</f>
        <v>342</v>
      </c>
      <c r="T207" s="229"/>
      <c r="U207" s="229">
        <f t="shared" ca="1" si="8"/>
        <v>0</v>
      </c>
      <c r="V207" s="229"/>
      <c r="W207" s="229"/>
      <c r="Y207" s="223" t="str">
        <f t="shared" ca="1" si="9"/>
        <v>TinCV Venus Inti Perkasa</v>
      </c>
    </row>
    <row r="208" spans="1:25" s="223" customFormat="1" ht="20.25">
      <c r="A208" s="291" t="s">
        <v>197</v>
      </c>
      <c r="B208" s="292" t="str">
        <f ca="1">IF(LEN(A208)=0,"",INDEX('Smelter Reference List'!$A:$A,MATCH($A208,'Smelter Reference List'!$E:$E,0)))</f>
        <v>Tin</v>
      </c>
      <c r="C208" s="298" t="str">
        <f ca="1">IF(LEN(A208)=0,"",INDEX('Smelter Reference List'!$C:$C,MATCH($A208,'Smelter Reference List'!$E:$E,0)))</f>
        <v>Magnu's Minerais Metais e Ligas Ltda.</v>
      </c>
      <c r="D208" s="292" t="str">
        <f ca="1">IF(ISERROR($S208),"",OFFSET('Smelter Reference List'!$C$4,$S208-4,0)&amp;"")</f>
        <v>Magnu's Minerais Metais e Ligas Ltda.</v>
      </c>
      <c r="E208" s="292" t="str">
        <f ca="1">IF(ISERROR($S208),"",OFFSET('Smelter Reference List'!$D$4,$S208-4,0)&amp;"")</f>
        <v>BRAZIL</v>
      </c>
      <c r="F208" s="292" t="str">
        <f ca="1">IF(ISERROR($S208),"",OFFSET('Smelter Reference List'!$E$4,$S208-4,0))</f>
        <v>CID002468</v>
      </c>
      <c r="G208" s="292" t="str">
        <f ca="1">IF(C208=$U$4,"Enter smelter details", IF(ISERROR($S208),"",OFFSET('Smelter Reference List'!$F$4,$S208-4,0)))</f>
        <v>CFSI</v>
      </c>
      <c r="H208" s="293">
        <f ca="1">IF(ISERROR($S208),"",OFFSET('Smelter Reference List'!$G$4,$S208-4,0))</f>
        <v>0</v>
      </c>
      <c r="I208" s="294" t="str">
        <f ca="1">IF(ISERROR($S208),"",OFFSET('Smelter Reference List'!$H$4,$S208-4,0))</f>
        <v>São João del Rei</v>
      </c>
      <c r="J208" s="294" t="str">
        <f ca="1">IF(ISERROR($S208),"",OFFSET('Smelter Reference List'!$I$4,$S208-4,0))</f>
        <v>Minas Gerais</v>
      </c>
      <c r="K208" s="295"/>
      <c r="L208" s="295"/>
      <c r="M208" s="295"/>
      <c r="N208" s="295"/>
      <c r="O208" s="295"/>
      <c r="P208" s="295"/>
      <c r="Q208" s="296"/>
      <c r="R208" s="227"/>
      <c r="S208" s="228">
        <f ca="1">IF(C208="",NA(),MATCH($B208&amp;$C208,'Smelter Reference List'!$J:$J,0))</f>
        <v>379</v>
      </c>
      <c r="T208" s="229"/>
      <c r="U208" s="229">
        <f t="shared" ca="1" si="8"/>
        <v>0</v>
      </c>
      <c r="V208" s="229"/>
      <c r="W208" s="229"/>
      <c r="Y208" s="223" t="str">
        <f t="shared" ca="1" si="9"/>
        <v>TinMagnu's Minerais Metais e Ligas Ltda.</v>
      </c>
    </row>
    <row r="209" spans="1:25" s="223" customFormat="1" ht="20.25">
      <c r="A209" s="291" t="s">
        <v>2666</v>
      </c>
      <c r="B209" s="292" t="str">
        <f ca="1">IF(LEN(A209)=0,"",INDEX('Smelter Reference List'!$A:$A,MATCH($A209,'Smelter Reference List'!$E:$E,0)))</f>
        <v>Tin</v>
      </c>
      <c r="C209" s="298" t="str">
        <f ca="1">IF(LEN(A209)=0,"",INDEX('Smelter Reference List'!$C:$C,MATCH($A209,'Smelter Reference List'!$E:$E,0)))</f>
        <v>PT Wahana Perkit Jaya</v>
      </c>
      <c r="D209" s="292" t="str">
        <f ca="1">IF(ISERROR($S209),"",OFFSET('Smelter Reference List'!$C$4,$S209-4,0)&amp;"")</f>
        <v>PT Wahana Perkit Jaya</v>
      </c>
      <c r="E209" s="292" t="str">
        <f ca="1">IF(ISERROR($S209),"",OFFSET('Smelter Reference List'!$D$4,$S209-4,0)&amp;"")</f>
        <v>INDONESIA</v>
      </c>
      <c r="F209" s="292" t="str">
        <f ca="1">IF(ISERROR($S209),"",OFFSET('Smelter Reference List'!$E$4,$S209-4,0))</f>
        <v>CID002479</v>
      </c>
      <c r="G209" s="292" t="str">
        <f ca="1">IF(C209=$U$4,"Enter smelter details", IF(ISERROR($S209),"",OFFSET('Smelter Reference List'!$F$4,$S209-4,0)))</f>
        <v>CFSI</v>
      </c>
      <c r="H209" s="293">
        <f ca="1">IF(ISERROR($S209),"",OFFSET('Smelter Reference List'!$G$4,$S209-4,0))</f>
        <v>0</v>
      </c>
      <c r="I209" s="294" t="str">
        <f ca="1">IF(ISERROR($S209),"",OFFSET('Smelter Reference List'!$H$4,$S209-4,0))</f>
        <v>Topang Island</v>
      </c>
      <c r="J209" s="294" t="str">
        <f ca="1">IF(ISERROR($S209),"",OFFSET('Smelter Reference List'!$I$4,$S209-4,0))</f>
        <v>Riau Province</v>
      </c>
      <c r="K209" s="295"/>
      <c r="L209" s="295"/>
      <c r="M209" s="295"/>
      <c r="N209" s="295"/>
      <c r="O209" s="295"/>
      <c r="P209" s="295"/>
      <c r="Q209" s="296"/>
      <c r="R209" s="227"/>
      <c r="S209" s="228">
        <f ca="1">IF(C209="",NA(),MATCH($B209&amp;$C209,'Smelter Reference List'!$J:$J,0))</f>
        <v>434</v>
      </c>
      <c r="T209" s="229"/>
      <c r="U209" s="229">
        <f t="shared" ca="1" si="8"/>
        <v>0</v>
      </c>
      <c r="V209" s="229"/>
      <c r="W209" s="229"/>
      <c r="Y209" s="223" t="str">
        <f t="shared" ca="1" si="9"/>
        <v>TinPT Wahana Perkit Jaya</v>
      </c>
    </row>
    <row r="210" spans="1:25" s="223" customFormat="1" ht="20.25">
      <c r="A210" s="291" t="s">
        <v>713</v>
      </c>
      <c r="B210" s="292" t="str">
        <f ca="1">IF(LEN(A210)=0,"",INDEX('Smelter Reference List'!$A:$A,MATCH($A210,'Smelter Reference List'!$E:$E,0)))</f>
        <v>Tantalum</v>
      </c>
      <c r="C210" s="298" t="str">
        <f ca="1">IF(LEN(A210)=0,"",INDEX('Smelter Reference List'!$C:$C,MATCH($A210,'Smelter Reference List'!$E:$E,0)))</f>
        <v>Hengyang King Xing Lifeng New Materials Co., Ltd.</v>
      </c>
      <c r="D210" s="292" t="str">
        <f ca="1">IF(ISERROR($S210),"",OFFSET('Smelter Reference List'!$C$4,$S210-4,0)&amp;"")</f>
        <v>Hengyang King Xing Lifeng New Materials Co., Ltd.</v>
      </c>
      <c r="E210" s="292" t="str">
        <f ca="1">IF(ISERROR($S210),"",OFFSET('Smelter Reference List'!$D$4,$S210-4,0)&amp;"")</f>
        <v>CHINA</v>
      </c>
      <c r="F210" s="292" t="str">
        <f ca="1">IF(ISERROR($S210),"",OFFSET('Smelter Reference List'!$E$4,$S210-4,0))</f>
        <v>CID002492</v>
      </c>
      <c r="G210" s="292" t="str">
        <f ca="1">IF(C210=$U$4,"Enter smelter details", IF(ISERROR($S210),"",OFFSET('Smelter Reference List'!$F$4,$S210-4,0)))</f>
        <v>CFSI</v>
      </c>
      <c r="H210" s="293">
        <f ca="1">IF(ISERROR($S210),"",OFFSET('Smelter Reference List'!$G$4,$S210-4,0))</f>
        <v>0</v>
      </c>
      <c r="I210" s="294" t="str">
        <f ca="1">IF(ISERROR($S210),"",OFFSET('Smelter Reference List'!$H$4,$S210-4,0))</f>
        <v>Hengyang</v>
      </c>
      <c r="J210" s="294" t="str">
        <f ca="1">IF(ISERROR($S210),"",OFFSET('Smelter Reference List'!$I$4,$S210-4,0))</f>
        <v>Hunan</v>
      </c>
      <c r="K210" s="295"/>
      <c r="L210" s="295"/>
      <c r="M210" s="295"/>
      <c r="N210" s="295"/>
      <c r="O210" s="295"/>
      <c r="P210" s="295"/>
      <c r="Q210" s="296"/>
      <c r="R210" s="227"/>
      <c r="S210" s="228">
        <f ca="1">IF(C210="",NA(),MATCH($B210&amp;$C210,'Smelter Reference List'!$J:$J,0))</f>
        <v>266</v>
      </c>
      <c r="T210" s="229"/>
      <c r="U210" s="229">
        <f t="shared" ca="1" si="8"/>
        <v>0</v>
      </c>
      <c r="V210" s="229"/>
      <c r="W210" s="229"/>
      <c r="Y210" s="223" t="str">
        <f t="shared" ca="1" si="9"/>
        <v>TantalumHengyang King Xing Lifeng New Materials Co., Ltd.</v>
      </c>
    </row>
    <row r="211" spans="1:25" s="223" customFormat="1" ht="20.25">
      <c r="A211" s="291" t="s">
        <v>710</v>
      </c>
      <c r="B211" s="292" t="str">
        <f ca="1">IF(LEN(A211)=0,"",INDEX('Smelter Reference List'!$A:$A,MATCH($A211,'Smelter Reference List'!$E:$E,0)))</f>
        <v>Tungsten</v>
      </c>
      <c r="C211" s="298" t="str">
        <f ca="1">IF(LEN(A211)=0,"",INDEX('Smelter Reference List'!$C:$C,MATCH($A211,'Smelter Reference List'!$E:$E,0)))</f>
        <v>Ganzhou Seadragon W &amp; Mo Co., Ltd.</v>
      </c>
      <c r="D211" s="292" t="str">
        <f ca="1">IF(ISERROR($S211),"",OFFSET('Smelter Reference List'!$C$4,$S211-4,0)&amp;"")</f>
        <v>Ganzhou Seadragon W &amp; Mo Co., Ltd.</v>
      </c>
      <c r="E211" s="292" t="str">
        <f ca="1">IF(ISERROR($S211),"",OFFSET('Smelter Reference List'!$D$4,$S211-4,0)&amp;"")</f>
        <v>CHINA</v>
      </c>
      <c r="F211" s="292" t="str">
        <f ca="1">IF(ISERROR($S211),"",OFFSET('Smelter Reference List'!$E$4,$S211-4,0))</f>
        <v>CID002494</v>
      </c>
      <c r="G211" s="292" t="str">
        <f ca="1">IF(C211=$U$4,"Enter smelter details", IF(ISERROR($S211),"",OFFSET('Smelter Reference List'!$F$4,$S211-4,0)))</f>
        <v>CFSI</v>
      </c>
      <c r="H211" s="293">
        <f ca="1">IF(ISERROR($S211),"",OFFSET('Smelter Reference List'!$G$4,$S211-4,0))</f>
        <v>0</v>
      </c>
      <c r="I211" s="294" t="str">
        <f ca="1">IF(ISERROR($S211),"",OFFSET('Smelter Reference List'!$H$4,$S211-4,0))</f>
        <v>Ganzhou</v>
      </c>
      <c r="J211" s="294" t="str">
        <f ca="1">IF(ISERROR($S211),"",OFFSET('Smelter Reference List'!$I$4,$S211-4,0))</f>
        <v>Jiangxi</v>
      </c>
      <c r="K211" s="295"/>
      <c r="L211" s="295"/>
      <c r="M211" s="295"/>
      <c r="N211" s="295"/>
      <c r="O211" s="295"/>
      <c r="P211" s="295"/>
      <c r="Q211" s="296"/>
      <c r="R211" s="227"/>
      <c r="S211" s="228">
        <f ca="1">IF(C211="",NA(),MATCH($B211&amp;$C211,'Smelter Reference List'!$J:$J,0))</f>
        <v>483</v>
      </c>
      <c r="T211" s="229"/>
      <c r="U211" s="229">
        <f t="shared" ca="1" si="8"/>
        <v>0</v>
      </c>
      <c r="V211" s="229"/>
      <c r="W211" s="229"/>
      <c r="Y211" s="223" t="str">
        <f t="shared" ca="1" si="9"/>
        <v>TungstenGanzhou Seadragon W &amp; Mo Co., Ltd.</v>
      </c>
    </row>
    <row r="212" spans="1:25" s="223" customFormat="1" ht="20.25">
      <c r="A212" s="291" t="s">
        <v>2541</v>
      </c>
      <c r="B212" s="292" t="str">
        <f ca="1">IF(LEN(A212)=0,"",INDEX('Smelter Reference List'!$A:$A,MATCH($A212,'Smelter Reference List'!$E:$E,0)))</f>
        <v>Tin</v>
      </c>
      <c r="C212" s="298" t="str">
        <f ca="1">IF(LEN(A212)=0,"",INDEX('Smelter Reference List'!$C:$C,MATCH($A212,'Smelter Reference List'!$E:$E,0)))</f>
        <v>Melt Metais e Ligas S.A.</v>
      </c>
      <c r="D212" s="292" t="str">
        <f ca="1">IF(ISERROR($S212),"",OFFSET('Smelter Reference List'!$C$4,$S212-4,0)&amp;"")</f>
        <v>Melt Metais e Ligas S.A.</v>
      </c>
      <c r="E212" s="292" t="str">
        <f ca="1">IF(ISERROR($S212),"",OFFSET('Smelter Reference List'!$D$4,$S212-4,0)&amp;"")</f>
        <v>BRAZIL</v>
      </c>
      <c r="F212" s="292" t="str">
        <f ca="1">IF(ISERROR($S212),"",OFFSET('Smelter Reference List'!$E$4,$S212-4,0))</f>
        <v>CID002500</v>
      </c>
      <c r="G212" s="292" t="str">
        <f ca="1">IF(C212=$U$4,"Enter smelter details", IF(ISERROR($S212),"",OFFSET('Smelter Reference List'!$F$4,$S212-4,0)))</f>
        <v>CFSI</v>
      </c>
      <c r="H212" s="293">
        <f ca="1">IF(ISERROR($S212),"",OFFSET('Smelter Reference List'!$G$4,$S212-4,0))</f>
        <v>0</v>
      </c>
      <c r="I212" s="294" t="str">
        <f ca="1">IF(ISERROR($S212),"",OFFSET('Smelter Reference List'!$H$4,$S212-4,0))</f>
        <v>Ariquemes</v>
      </c>
      <c r="J212" s="294" t="str">
        <f ca="1">IF(ISERROR($S212),"",OFFSET('Smelter Reference List'!$I$4,$S212-4,0))</f>
        <v>Rondonia</v>
      </c>
      <c r="K212" s="295"/>
      <c r="L212" s="295"/>
      <c r="M212" s="295"/>
      <c r="N212" s="295"/>
      <c r="O212" s="295"/>
      <c r="P212" s="295"/>
      <c r="Q212" s="296"/>
      <c r="R212" s="227"/>
      <c r="S212" s="228">
        <f ca="1">IF(C212="",NA(),MATCH($B212&amp;$C212,'Smelter Reference List'!$J:$J,0))</f>
        <v>381</v>
      </c>
      <c r="T212" s="229"/>
      <c r="U212" s="229">
        <f t="shared" ca="1" si="8"/>
        <v>0</v>
      </c>
      <c r="V212" s="229"/>
      <c r="W212" s="229"/>
      <c r="Y212" s="223" t="str">
        <f t="shared" ca="1" si="9"/>
        <v>TinMelt Metais e Ligas S.A.</v>
      </c>
    </row>
    <row r="213" spans="1:25" s="223" customFormat="1" ht="20.25">
      <c r="A213" s="291" t="s">
        <v>2668</v>
      </c>
      <c r="B213" s="292" t="str">
        <f ca="1">IF(LEN(A213)=0,"",INDEX('Smelter Reference List'!$A:$A,MATCH($A213,'Smelter Reference List'!$E:$E,0)))</f>
        <v>Tungsten</v>
      </c>
      <c r="C213" s="298" t="str">
        <f ca="1">IF(LEN(A213)=0,"",INDEX('Smelter Reference List'!$C:$C,MATCH($A213,'Smelter Reference List'!$E:$E,0)))</f>
        <v>Asia Tungsten Products Vietnam Ltd.</v>
      </c>
      <c r="D213" s="292" t="str">
        <f ca="1">IF(ISERROR($S213),"",OFFSET('Smelter Reference List'!$C$4,$S213-4,0)&amp;"")</f>
        <v>Asia Tungsten Products Vietnam Ltd.</v>
      </c>
      <c r="E213" s="292" t="str">
        <f ca="1">IF(ISERROR($S213),"",OFFSET('Smelter Reference List'!$D$4,$S213-4,0)&amp;"")</f>
        <v>VIET NAM</v>
      </c>
      <c r="F213" s="292" t="str">
        <f ca="1">IF(ISERROR($S213),"",OFFSET('Smelter Reference List'!$E$4,$S213-4,0))</f>
        <v>CID002502</v>
      </c>
      <c r="G213" s="292" t="str">
        <f ca="1">IF(C213=$U$4,"Enter smelter details", IF(ISERROR($S213),"",OFFSET('Smelter Reference List'!$F$4,$S213-4,0)))</f>
        <v>CFSI</v>
      </c>
      <c r="H213" s="293">
        <f ca="1">IF(ISERROR($S213),"",OFFSET('Smelter Reference List'!$G$4,$S213-4,0))</f>
        <v>0</v>
      </c>
      <c r="I213" s="294" t="str">
        <f ca="1">IF(ISERROR($S213),"",OFFSET('Smelter Reference List'!$H$4,$S213-4,0))</f>
        <v>Vinh Bao District</v>
      </c>
      <c r="J213" s="294" t="str">
        <f ca="1">IF(ISERROR($S213),"",OFFSET('Smelter Reference List'!$I$4,$S213-4,0))</f>
        <v>Hai Phong</v>
      </c>
      <c r="K213" s="295"/>
      <c r="L213" s="295"/>
      <c r="M213" s="295"/>
      <c r="N213" s="295"/>
      <c r="O213" s="295"/>
      <c r="P213" s="295"/>
      <c r="Q213" s="296"/>
      <c r="R213" s="227"/>
      <c r="S213" s="228">
        <f ca="1">IF(C213="",NA(),MATCH($B213&amp;$C213,'Smelter Reference List'!$J:$J,0))</f>
        <v>471</v>
      </c>
      <c r="T213" s="229"/>
      <c r="U213" s="229">
        <f t="shared" ca="1" si="8"/>
        <v>0</v>
      </c>
      <c r="V213" s="229"/>
      <c r="W213" s="229"/>
      <c r="Y213" s="223" t="str">
        <f t="shared" ca="1" si="9"/>
        <v>TungstenAsia Tungsten Products Vietnam Ltd.</v>
      </c>
    </row>
    <row r="214" spans="1:25" s="223" customFormat="1" ht="20.25">
      <c r="A214" s="291" t="s">
        <v>2661</v>
      </c>
      <c r="B214" s="292" t="str">
        <f ca="1">IF(LEN(A214)=0,"",INDEX('Smelter Reference List'!$A:$A,MATCH($A214,'Smelter Reference List'!$E:$E,0)))</f>
        <v>Tin</v>
      </c>
      <c r="C214" s="298" t="str">
        <f ca="1">IF(LEN(A214)=0,"",INDEX('Smelter Reference List'!$C:$C,MATCH($A214,'Smelter Reference List'!$E:$E,0)))</f>
        <v>PT ATD Makmur Mandiri Jaya</v>
      </c>
      <c r="D214" s="292" t="str">
        <f ca="1">IF(ISERROR($S214),"",OFFSET('Smelter Reference List'!$C$4,$S214-4,0)&amp;"")</f>
        <v>PT ATD Makmur Mandiri Jaya</v>
      </c>
      <c r="E214" s="292" t="str">
        <f ca="1">IF(ISERROR($S214),"",OFFSET('Smelter Reference List'!$D$4,$S214-4,0)&amp;"")</f>
        <v>INDONESIA</v>
      </c>
      <c r="F214" s="292" t="str">
        <f ca="1">IF(ISERROR($S214),"",OFFSET('Smelter Reference List'!$E$4,$S214-4,0))</f>
        <v>CID002503</v>
      </c>
      <c r="G214" s="292" t="str">
        <f ca="1">IF(C214=$U$4,"Enter smelter details", IF(ISERROR($S214),"",OFFSET('Smelter Reference List'!$F$4,$S214-4,0)))</f>
        <v>CFSI</v>
      </c>
      <c r="H214" s="293">
        <f ca="1">IF(ISERROR($S214),"",OFFSET('Smelter Reference List'!$G$4,$S214-4,0))</f>
        <v>0</v>
      </c>
      <c r="I214" s="294" t="str">
        <f ca="1">IF(ISERROR($S214),"",OFFSET('Smelter Reference List'!$H$4,$S214-4,0))</f>
        <v>Sungailiat</v>
      </c>
      <c r="J214" s="294" t="str">
        <f ca="1">IF(ISERROR($S214),"",OFFSET('Smelter Reference List'!$I$4,$S214-4,0))</f>
        <v>Bangka</v>
      </c>
      <c r="K214" s="295"/>
      <c r="L214" s="295"/>
      <c r="M214" s="295"/>
      <c r="N214" s="295"/>
      <c r="O214" s="295"/>
      <c r="P214" s="295"/>
      <c r="Q214" s="296"/>
      <c r="R214" s="227"/>
      <c r="S214" s="228">
        <f ca="1">IF(C214="",NA(),MATCH($B214&amp;$C214,'Smelter Reference List'!$J:$J,0))</f>
        <v>402</v>
      </c>
      <c r="T214" s="229"/>
      <c r="U214" s="229">
        <f t="shared" ca="1" si="8"/>
        <v>0</v>
      </c>
      <c r="V214" s="229"/>
      <c r="W214" s="229"/>
      <c r="Y214" s="223" t="str">
        <f t="shared" ca="1" si="9"/>
        <v>TinPT ATD Makmur Mandiri Jaya</v>
      </c>
    </row>
    <row r="215" spans="1:25" s="223" customFormat="1" ht="20.25">
      <c r="A215" s="291" t="s">
        <v>2650</v>
      </c>
      <c r="B215" s="292" t="str">
        <f ca="1">IF(LEN(A215)=0,"",INDEX('Smelter Reference List'!$A:$A,MATCH($A215,'Smelter Reference List'!$E:$E,0)))</f>
        <v>Tantalum</v>
      </c>
      <c r="C215" s="298" t="str">
        <f ca="1">IF(LEN(A215)=0,"",INDEX('Smelter Reference List'!$C:$C,MATCH($A215,'Smelter Reference List'!$E:$E,0)))</f>
        <v>D Block Metals, LLC</v>
      </c>
      <c r="D215" s="292" t="str">
        <f ca="1">IF(ISERROR($S215),"",OFFSET('Smelter Reference List'!$C$4,$S215-4,0)&amp;"")</f>
        <v>D Block Metals, LLC</v>
      </c>
      <c r="E215" s="292" t="str">
        <f ca="1">IF(ISERROR($S215),"",OFFSET('Smelter Reference List'!$D$4,$S215-4,0)&amp;"")</f>
        <v>UNITED STATES OF AMERICA</v>
      </c>
      <c r="F215" s="292" t="str">
        <f ca="1">IF(ISERROR($S215),"",OFFSET('Smelter Reference List'!$E$4,$S215-4,0))</f>
        <v>CID002504</v>
      </c>
      <c r="G215" s="292" t="str">
        <f ca="1">IF(C215=$U$4,"Enter smelter details", IF(ISERROR($S215),"",OFFSET('Smelter Reference List'!$F$4,$S215-4,0)))</f>
        <v>CFSI</v>
      </c>
      <c r="H215" s="293">
        <f ca="1">IF(ISERROR($S215),"",OFFSET('Smelter Reference List'!$G$4,$S215-4,0))</f>
        <v>0</v>
      </c>
      <c r="I215" s="294" t="str">
        <f ca="1">IF(ISERROR($S215),"",OFFSET('Smelter Reference List'!$H$4,$S215-4,0))</f>
        <v>Gastonia</v>
      </c>
      <c r="J215" s="294" t="str">
        <f ca="1">IF(ISERROR($S215),"",OFFSET('Smelter Reference List'!$I$4,$S215-4,0))</f>
        <v>North Carolina</v>
      </c>
      <c r="K215" s="295"/>
      <c r="L215" s="295"/>
      <c r="M215" s="295"/>
      <c r="N215" s="295"/>
      <c r="O215" s="295"/>
      <c r="P215" s="295"/>
      <c r="Q215" s="296"/>
      <c r="R215" s="227"/>
      <c r="S215" s="228">
        <f ca="1">IF(C215="",NA(),MATCH($B215&amp;$C215,'Smelter Reference List'!$J:$J,0))</f>
        <v>248</v>
      </c>
      <c r="T215" s="229"/>
      <c r="U215" s="229">
        <f t="shared" ca="1" si="8"/>
        <v>0</v>
      </c>
      <c r="V215" s="229"/>
      <c r="W215" s="229"/>
      <c r="Y215" s="223" t="str">
        <f t="shared" ca="1" si="9"/>
        <v>TantalumD Block Metals, LLC</v>
      </c>
    </row>
    <row r="216" spans="1:25" s="223" customFormat="1" ht="20.25">
      <c r="A216" s="291" t="s">
        <v>2651</v>
      </c>
      <c r="B216" s="292" t="str">
        <f ca="1">IF(LEN(A216)=0,"",INDEX('Smelter Reference List'!$A:$A,MATCH($A216,'Smelter Reference List'!$E:$E,0)))</f>
        <v>Tantalum</v>
      </c>
      <c r="C216" s="298" t="str">
        <f ca="1">IF(LEN(A216)=0,"",INDEX('Smelter Reference List'!$C:$C,MATCH($A216,'Smelter Reference List'!$E:$E,0)))</f>
        <v>FIR Metals &amp; Resource Ltd.</v>
      </c>
      <c r="D216" s="292" t="str">
        <f ca="1">IF(ISERROR($S216),"",OFFSET('Smelter Reference List'!$C$4,$S216-4,0)&amp;"")</f>
        <v>FIR Metals &amp; Resource Ltd.</v>
      </c>
      <c r="E216" s="292" t="str">
        <f ca="1">IF(ISERROR($S216),"",OFFSET('Smelter Reference List'!$D$4,$S216-4,0)&amp;"")</f>
        <v>CHINA</v>
      </c>
      <c r="F216" s="292" t="str">
        <f ca="1">IF(ISERROR($S216),"",OFFSET('Smelter Reference List'!$E$4,$S216-4,0))</f>
        <v>CID002505</v>
      </c>
      <c r="G216" s="292" t="str">
        <f ca="1">IF(C216=$U$4,"Enter smelter details", IF(ISERROR($S216),"",OFFSET('Smelter Reference List'!$F$4,$S216-4,0)))</f>
        <v>CFSI</v>
      </c>
      <c r="H216" s="293">
        <f ca="1">IF(ISERROR($S216),"",OFFSET('Smelter Reference List'!$G$4,$S216-4,0))</f>
        <v>0</v>
      </c>
      <c r="I216" s="294" t="str">
        <f ca="1">IF(ISERROR($S216),"",OFFSET('Smelter Reference List'!$H$4,$S216-4,0))</f>
        <v>Zhuzhou</v>
      </c>
      <c r="J216" s="294" t="str">
        <f ca="1">IF(ISERROR($S216),"",OFFSET('Smelter Reference List'!$I$4,$S216-4,0))</f>
        <v>Hunan</v>
      </c>
      <c r="K216" s="295"/>
      <c r="L216" s="295"/>
      <c r="M216" s="295"/>
      <c r="N216" s="295"/>
      <c r="O216" s="295"/>
      <c r="P216" s="295"/>
      <c r="Q216" s="296"/>
      <c r="R216" s="227"/>
      <c r="S216" s="228">
        <f ca="1">IF(C216="",NA(),MATCH($B216&amp;$C216,'Smelter Reference List'!$J:$J,0))</f>
        <v>255</v>
      </c>
      <c r="T216" s="229"/>
      <c r="U216" s="229">
        <f t="shared" ca="1" si="8"/>
        <v>0</v>
      </c>
      <c r="V216" s="229"/>
      <c r="W216" s="229"/>
      <c r="Y216" s="223" t="str">
        <f t="shared" ca="1" si="9"/>
        <v>TantalumFIR Metals &amp; Resource Ltd.</v>
      </c>
    </row>
    <row r="217" spans="1:25" s="223" customFormat="1" ht="20.25">
      <c r="A217" s="291" t="s">
        <v>2653</v>
      </c>
      <c r="B217" s="292" t="str">
        <f ca="1">IF(LEN(A217)=0,"",INDEX('Smelter Reference List'!$A:$A,MATCH($A217,'Smelter Reference List'!$E:$E,0)))</f>
        <v>Tantalum</v>
      </c>
      <c r="C217" s="298" t="str">
        <f ca="1">IF(LEN(A217)=0,"",INDEX('Smelter Reference List'!$C:$C,MATCH($A217,'Smelter Reference List'!$E:$E,0)))</f>
        <v>Jiujiang Zhongao Tantalum &amp; Niobium Co., Ltd.</v>
      </c>
      <c r="D217" s="292" t="str">
        <f ca="1">IF(ISERROR($S217),"",OFFSET('Smelter Reference List'!$C$4,$S217-4,0)&amp;"")</f>
        <v>Jiujiang Zhongao Tantalum &amp; Niobium Co., Ltd.</v>
      </c>
      <c r="E217" s="292" t="str">
        <f ca="1">IF(ISERROR($S217),"",OFFSET('Smelter Reference List'!$D$4,$S217-4,0)&amp;"")</f>
        <v>CHINA</v>
      </c>
      <c r="F217" s="292" t="str">
        <f ca="1">IF(ISERROR($S217),"",OFFSET('Smelter Reference List'!$E$4,$S217-4,0))</f>
        <v>CID002506</v>
      </c>
      <c r="G217" s="292" t="str">
        <f ca="1">IF(C217=$U$4,"Enter smelter details", IF(ISERROR($S217),"",OFFSET('Smelter Reference List'!$F$4,$S217-4,0)))</f>
        <v>CFSI</v>
      </c>
      <c r="H217" s="293">
        <f ca="1">IF(ISERROR($S217),"",OFFSET('Smelter Reference List'!$G$4,$S217-4,0))</f>
        <v>0</v>
      </c>
      <c r="I217" s="294" t="str">
        <f ca="1">IF(ISERROR($S217),"",OFFSET('Smelter Reference List'!$H$4,$S217-4,0))</f>
        <v>Jiujiang</v>
      </c>
      <c r="J217" s="294" t="str">
        <f ca="1">IF(ISERROR($S217),"",OFFSET('Smelter Reference List'!$I$4,$S217-4,0))</f>
        <v>Jiangxi</v>
      </c>
      <c r="K217" s="295"/>
      <c r="L217" s="295"/>
      <c r="M217" s="295"/>
      <c r="N217" s="295"/>
      <c r="O217" s="295"/>
      <c r="P217" s="295"/>
      <c r="Q217" s="296"/>
      <c r="R217" s="227"/>
      <c r="S217" s="228">
        <f ca="1">IF(C217="",NA(),MATCH($B217&amp;$C217,'Smelter Reference List'!$J:$J,0))</f>
        <v>273</v>
      </c>
      <c r="T217" s="229"/>
      <c r="U217" s="229">
        <f t="shared" ca="1" si="8"/>
        <v>0</v>
      </c>
      <c r="V217" s="229"/>
      <c r="W217" s="229"/>
      <c r="Y217" s="223" t="str">
        <f t="shared" ca="1" si="9"/>
        <v>TantalumJiujiang Zhongao Tantalum &amp; Niobium Co., Ltd.</v>
      </c>
    </row>
    <row r="218" spans="1:25" s="223" customFormat="1" ht="20.25">
      <c r="A218" s="291" t="s">
        <v>2655</v>
      </c>
      <c r="B218" s="292" t="str">
        <f ca="1">IF(LEN(A218)=0,"",INDEX('Smelter Reference List'!$A:$A,MATCH($A218,'Smelter Reference List'!$E:$E,0)))</f>
        <v>Tantalum</v>
      </c>
      <c r="C218" s="298" t="str">
        <f ca="1">IF(LEN(A218)=0,"",INDEX('Smelter Reference List'!$C:$C,MATCH($A218,'Smelter Reference List'!$E:$E,0)))</f>
        <v>XinXing HaoRong Electronic Material Co., Ltd.</v>
      </c>
      <c r="D218" s="292" t="str">
        <f ca="1">IF(ISERROR($S218),"",OFFSET('Smelter Reference List'!$C$4,$S218-4,0)&amp;"")</f>
        <v>XinXing HaoRong Electronic Material Co., Ltd.</v>
      </c>
      <c r="E218" s="292" t="str">
        <f ca="1">IF(ISERROR($S218),"",OFFSET('Smelter Reference List'!$D$4,$S218-4,0)&amp;"")</f>
        <v>CHINA</v>
      </c>
      <c r="F218" s="292" t="str">
        <f ca="1">IF(ISERROR($S218),"",OFFSET('Smelter Reference List'!$E$4,$S218-4,0))</f>
        <v>CID002508</v>
      </c>
      <c r="G218" s="292" t="str">
        <f ca="1">IF(C218=$U$4,"Enter smelter details", IF(ISERROR($S218),"",OFFSET('Smelter Reference List'!$F$4,$S218-4,0)))</f>
        <v>CFSI</v>
      </c>
      <c r="H218" s="293">
        <f ca="1">IF(ISERROR($S218),"",OFFSET('Smelter Reference List'!$G$4,$S218-4,0))</f>
        <v>0</v>
      </c>
      <c r="I218" s="294" t="str">
        <f ca="1">IF(ISERROR($S218),"",OFFSET('Smelter Reference List'!$H$4,$S218-4,0))</f>
        <v>YunFu City</v>
      </c>
      <c r="J218" s="294" t="str">
        <f ca="1">IF(ISERROR($S218),"",OFFSET('Smelter Reference List'!$I$4,$S218-4,0))</f>
        <v>Guangdong</v>
      </c>
      <c r="K218" s="295"/>
      <c r="L218" s="295"/>
      <c r="M218" s="295"/>
      <c r="N218" s="295"/>
      <c r="O218" s="295"/>
      <c r="P218" s="295"/>
      <c r="Q218" s="296"/>
      <c r="R218" s="227"/>
      <c r="S218" s="228">
        <f ca="1">IF(C218="",NA(),MATCH($B218&amp;$C218,'Smelter Reference List'!$J:$J,0))</f>
        <v>302</v>
      </c>
      <c r="T218" s="229"/>
      <c r="U218" s="229">
        <f t="shared" ca="1" si="8"/>
        <v>0</v>
      </c>
      <c r="V218" s="229"/>
      <c r="W218" s="229"/>
      <c r="Y218" s="223" t="str">
        <f t="shared" ca="1" si="9"/>
        <v>TantalumXinXing HaoRong Electronic Material Co., Ltd.</v>
      </c>
    </row>
    <row r="219" spans="1:25" s="223" customFormat="1" ht="20.25">
      <c r="A219" s="291" t="s">
        <v>2643</v>
      </c>
      <c r="B219" s="292" t="str">
        <f ca="1">IF(LEN(A219)=0,"",INDEX('Smelter Reference List'!$A:$A,MATCH($A219,'Smelter Reference List'!$E:$E,0)))</f>
        <v>Gold</v>
      </c>
      <c r="C219" s="298" t="str">
        <f ca="1">IF(LEN(A219)=0,"",INDEX('Smelter Reference List'!$C:$C,MATCH($A219,'Smelter Reference List'!$E:$E,0)))</f>
        <v>MMTC-PAMP India Pvt., Ltd.</v>
      </c>
      <c r="D219" s="292" t="str">
        <f ca="1">IF(ISERROR($S219),"",OFFSET('Smelter Reference List'!$C$4,$S219-4,0)&amp;"")</f>
        <v>MMTC-PAMP India Pvt., Ltd.</v>
      </c>
      <c r="E219" s="292" t="str">
        <f ca="1">IF(ISERROR($S219),"",OFFSET('Smelter Reference List'!$D$4,$S219-4,0)&amp;"")</f>
        <v>INDIA</v>
      </c>
      <c r="F219" s="292" t="str">
        <f ca="1">IF(ISERROR($S219),"",OFFSET('Smelter Reference List'!$E$4,$S219-4,0))</f>
        <v>CID002509</v>
      </c>
      <c r="G219" s="292" t="str">
        <f ca="1">IF(C219=$U$4,"Enter smelter details", IF(ISERROR($S219),"",OFFSET('Smelter Reference List'!$F$4,$S219-4,0)))</f>
        <v>CFSI</v>
      </c>
      <c r="H219" s="293">
        <f ca="1">IF(ISERROR($S219),"",OFFSET('Smelter Reference List'!$G$4,$S219-4,0))</f>
        <v>0</v>
      </c>
      <c r="I219" s="294" t="str">
        <f ca="1">IF(ISERROR($S219),"",OFFSET('Smelter Reference List'!$H$4,$S219-4,0))</f>
        <v>Mewat</v>
      </c>
      <c r="J219" s="294" t="str">
        <f ca="1">IF(ISERROR($S219),"",OFFSET('Smelter Reference List'!$I$4,$S219-4,0))</f>
        <v>Haryana</v>
      </c>
      <c r="K219" s="295"/>
      <c r="L219" s="295"/>
      <c r="M219" s="295"/>
      <c r="N219" s="295"/>
      <c r="O219" s="295"/>
      <c r="P219" s="295"/>
      <c r="Q219" s="296"/>
      <c r="R219" s="227"/>
      <c r="S219" s="228">
        <f ca="1">IF(C219="",NA(),MATCH($B219&amp;$C219,'Smelter Reference List'!$J:$J,0))</f>
        <v>132</v>
      </c>
      <c r="T219" s="229"/>
      <c r="U219" s="229">
        <f t="shared" ca="1" si="8"/>
        <v>0</v>
      </c>
      <c r="V219" s="229"/>
      <c r="W219" s="229"/>
      <c r="Y219" s="223" t="str">
        <f t="shared" ca="1" si="9"/>
        <v>GoldMMTC-PAMP India Pvt., Ltd.</v>
      </c>
    </row>
    <row r="220" spans="1:25" s="223" customFormat="1" ht="20.25">
      <c r="A220" s="291" t="s">
        <v>2645</v>
      </c>
      <c r="B220" s="292" t="str">
        <f ca="1">IF(LEN(A220)=0,"",INDEX('Smelter Reference List'!$A:$A,MATCH($A220,'Smelter Reference List'!$E:$E,0)))</f>
        <v>Gold</v>
      </c>
      <c r="C220" s="298" t="str">
        <f ca="1">IF(LEN(A220)=0,"",INDEX('Smelter Reference List'!$C:$C,MATCH($A220,'Smelter Reference List'!$E:$E,0)))</f>
        <v>Republic Metals Corporation</v>
      </c>
      <c r="D220" s="292" t="str">
        <f ca="1">IF(ISERROR($S220),"",OFFSET('Smelter Reference List'!$C$4,$S220-4,0)&amp;"")</f>
        <v>Republic Metals Corporation</v>
      </c>
      <c r="E220" s="292" t="str">
        <f ca="1">IF(ISERROR($S220),"",OFFSET('Smelter Reference List'!$D$4,$S220-4,0)&amp;"")</f>
        <v>UNITED STATES OF AMERICA</v>
      </c>
      <c r="F220" s="292" t="str">
        <f ca="1">IF(ISERROR($S220),"",OFFSET('Smelter Reference List'!$E$4,$S220-4,0))</f>
        <v>CID002510</v>
      </c>
      <c r="G220" s="292" t="str">
        <f ca="1">IF(C220=$U$4,"Enter smelter details", IF(ISERROR($S220),"",OFFSET('Smelter Reference List'!$F$4,$S220-4,0)))</f>
        <v>CFSI</v>
      </c>
      <c r="H220" s="293">
        <f ca="1">IF(ISERROR($S220),"",OFFSET('Smelter Reference List'!$G$4,$S220-4,0))</f>
        <v>0</v>
      </c>
      <c r="I220" s="294" t="str">
        <f ca="1">IF(ISERROR($S220),"",OFFSET('Smelter Reference List'!$H$4,$S220-4,0))</f>
        <v>Miami</v>
      </c>
      <c r="J220" s="294" t="str">
        <f ca="1">IF(ISERROR($S220),"",OFFSET('Smelter Reference List'!$I$4,$S220-4,0))</f>
        <v>Florida</v>
      </c>
      <c r="K220" s="295"/>
      <c r="L220" s="295"/>
      <c r="M220" s="295"/>
      <c r="N220" s="295"/>
      <c r="O220" s="295"/>
      <c r="P220" s="295"/>
      <c r="Q220" s="296"/>
      <c r="R220" s="227"/>
      <c r="S220" s="228">
        <f ca="1">IF(C220="",NA(),MATCH($B220&amp;$C220,'Smelter Reference List'!$J:$J,0))</f>
        <v>161</v>
      </c>
      <c r="T220" s="229"/>
      <c r="U220" s="229">
        <f t="shared" ca="1" si="8"/>
        <v>0</v>
      </c>
      <c r="V220" s="229"/>
      <c r="W220" s="229"/>
      <c r="Y220" s="223" t="str">
        <f t="shared" ca="1" si="9"/>
        <v>GoldRepublic Metals Corporation</v>
      </c>
    </row>
    <row r="221" spans="1:25" s="223" customFormat="1" ht="20.25">
      <c r="A221" s="291" t="s">
        <v>2652</v>
      </c>
      <c r="B221" s="292" t="str">
        <f ca="1">IF(LEN(A221)=0,"",INDEX('Smelter Reference List'!$A:$A,MATCH($A221,'Smelter Reference List'!$E:$E,0)))</f>
        <v>Tantalum</v>
      </c>
      <c r="C221" s="298" t="str">
        <f ca="1">IF(LEN(A221)=0,"",INDEX('Smelter Reference List'!$C:$C,MATCH($A221,'Smelter Reference List'!$E:$E,0)))</f>
        <v>Jiangxi Dinghai Tantalum &amp; Niobium Co., Ltd.</v>
      </c>
      <c r="D221" s="292" t="str">
        <f ca="1">IF(ISERROR($S221),"",OFFSET('Smelter Reference List'!$C$4,$S221-4,0)&amp;"")</f>
        <v>Jiangxi Dinghai Tantalum &amp; Niobium Co., Ltd.</v>
      </c>
      <c r="E221" s="292" t="str">
        <f ca="1">IF(ISERROR($S221),"",OFFSET('Smelter Reference List'!$D$4,$S221-4,0)&amp;"")</f>
        <v>CHINA</v>
      </c>
      <c r="F221" s="292" t="str">
        <f ca="1">IF(ISERROR($S221),"",OFFSET('Smelter Reference List'!$E$4,$S221-4,0))</f>
        <v>CID002512</v>
      </c>
      <c r="G221" s="292" t="str">
        <f ca="1">IF(C221=$U$4,"Enter smelter details", IF(ISERROR($S221),"",OFFSET('Smelter Reference List'!$F$4,$S221-4,0)))</f>
        <v>CFSI</v>
      </c>
      <c r="H221" s="293">
        <f ca="1">IF(ISERROR($S221),"",OFFSET('Smelter Reference List'!$G$4,$S221-4,0))</f>
        <v>0</v>
      </c>
      <c r="I221" s="294" t="str">
        <f ca="1">IF(ISERROR($S221),"",OFFSET('Smelter Reference List'!$H$4,$S221-4,0))</f>
        <v>Fengxin</v>
      </c>
      <c r="J221" s="294" t="str">
        <f ca="1">IF(ISERROR($S221),"",OFFSET('Smelter Reference List'!$I$4,$S221-4,0))</f>
        <v>Jiangxi</v>
      </c>
      <c r="K221" s="295"/>
      <c r="L221" s="295"/>
      <c r="M221" s="295"/>
      <c r="N221" s="295"/>
      <c r="O221" s="295"/>
      <c r="P221" s="295"/>
      <c r="Q221" s="296"/>
      <c r="R221" s="227"/>
      <c r="S221" s="228">
        <f ca="1">IF(C221="",NA(),MATCH($B221&amp;$C221,'Smelter Reference List'!$J:$J,0))</f>
        <v>269</v>
      </c>
      <c r="T221" s="229"/>
      <c r="U221" s="229">
        <f t="shared" ca="1" si="8"/>
        <v>0</v>
      </c>
      <c r="V221" s="229"/>
      <c r="W221" s="229"/>
      <c r="Y221" s="223" t="str">
        <f t="shared" ca="1" si="9"/>
        <v>TantalumJiangxi Dinghai Tantalum &amp; Niobium Co., Ltd.</v>
      </c>
    </row>
    <row r="222" spans="1:25" s="223" customFormat="1" ht="20.25">
      <c r="A222" s="291" t="s">
        <v>2670</v>
      </c>
      <c r="B222" s="292" t="str">
        <f ca="1">IF(LEN(A222)=0,"",INDEX('Smelter Reference List'!$A:$A,MATCH($A222,'Smelter Reference List'!$E:$E,0)))</f>
        <v>Tungsten</v>
      </c>
      <c r="C222" s="298" t="str">
        <f ca="1">IF(LEN(A222)=0,"",INDEX('Smelter Reference List'!$C:$C,MATCH($A222,'Smelter Reference List'!$E:$E,0)))</f>
        <v>Chenzhou Diamond Tungsten Products Co., Ltd.</v>
      </c>
      <c r="D222" s="292" t="str">
        <f ca="1">IF(ISERROR($S222),"",OFFSET('Smelter Reference List'!$C$4,$S222-4,0)&amp;"")</f>
        <v>Chenzhou Diamond Tungsten Products Co., Ltd.</v>
      </c>
      <c r="E222" s="292" t="str">
        <f ca="1">IF(ISERROR($S222),"",OFFSET('Smelter Reference List'!$D$4,$S222-4,0)&amp;"")</f>
        <v>CHINA</v>
      </c>
      <c r="F222" s="292" t="str">
        <f ca="1">IF(ISERROR($S222),"",OFFSET('Smelter Reference List'!$E$4,$S222-4,0))</f>
        <v>CID002513</v>
      </c>
      <c r="G222" s="292" t="str">
        <f ca="1">IF(C222=$U$4,"Enter smelter details", IF(ISERROR($S222),"",OFFSET('Smelter Reference List'!$F$4,$S222-4,0)))</f>
        <v>CFSI</v>
      </c>
      <c r="H222" s="293">
        <f ca="1">IF(ISERROR($S222),"",OFFSET('Smelter Reference List'!$G$4,$S222-4,0))</f>
        <v>0</v>
      </c>
      <c r="I222" s="294" t="str">
        <f ca="1">IF(ISERROR($S222),"",OFFSET('Smelter Reference List'!$H$4,$S222-4,0))</f>
        <v>Chenzhou</v>
      </c>
      <c r="J222" s="294" t="str">
        <f ca="1">IF(ISERROR($S222),"",OFFSET('Smelter Reference List'!$I$4,$S222-4,0))</f>
        <v>Hunan</v>
      </c>
      <c r="K222" s="295"/>
      <c r="L222" s="295"/>
      <c r="M222" s="295"/>
      <c r="N222" s="295"/>
      <c r="O222" s="295"/>
      <c r="P222" s="295"/>
      <c r="Q222" s="296"/>
      <c r="R222" s="227"/>
      <c r="S222" s="228">
        <f ca="1">IF(C222="",NA(),MATCH($B222&amp;$C222,'Smelter Reference List'!$J:$J,0))</f>
        <v>475</v>
      </c>
      <c r="T222" s="229"/>
      <c r="U222" s="229">
        <f t="shared" ca="1" si="8"/>
        <v>0</v>
      </c>
      <c r="V222" s="229"/>
      <c r="W222" s="229"/>
      <c r="Y222" s="223" t="str">
        <f t="shared" ca="1" si="9"/>
        <v>TungstenChenzhou Diamond Tungsten Products Co., Ltd.</v>
      </c>
    </row>
    <row r="223" spans="1:25" s="223" customFormat="1" ht="20.25">
      <c r="A223" s="291" t="s">
        <v>2648</v>
      </c>
      <c r="B223" s="292" t="str">
        <f ca="1">IF(LEN(A223)=0,"",INDEX('Smelter Reference List'!$A:$A,MATCH($A223,'Smelter Reference List'!$E:$E,0)))</f>
        <v>Gold</v>
      </c>
      <c r="C223" s="298" t="str">
        <f ca="1">IF(LEN(A223)=0,"",INDEX('Smelter Reference List'!$C:$C,MATCH($A223,'Smelter Reference List'!$E:$E,0)))</f>
        <v>Singway Technology Co., Ltd.</v>
      </c>
      <c r="D223" s="292" t="str">
        <f ca="1">IF(ISERROR($S223),"",OFFSET('Smelter Reference List'!$C$4,$S223-4,0)&amp;"")</f>
        <v>Singway Technology Co., Ltd.</v>
      </c>
      <c r="E223" s="292" t="str">
        <f ca="1">IF(ISERROR($S223),"",OFFSET('Smelter Reference List'!$D$4,$S223-4,0)&amp;"")</f>
        <v>TAIWAN, PROVINCE OF CHINA</v>
      </c>
      <c r="F223" s="292" t="str">
        <f ca="1">IF(ISERROR($S223),"",OFFSET('Smelter Reference List'!$E$4,$S223-4,0))</f>
        <v>CID002516</v>
      </c>
      <c r="G223" s="292" t="str">
        <f ca="1">IF(C223=$U$4,"Enter smelter details", IF(ISERROR($S223),"",OFFSET('Smelter Reference List'!$F$4,$S223-4,0)))</f>
        <v>CFSI</v>
      </c>
      <c r="H223" s="293">
        <f ca="1">IF(ISERROR($S223),"",OFFSET('Smelter Reference List'!$G$4,$S223-4,0))</f>
        <v>0</v>
      </c>
      <c r="I223" s="294" t="str">
        <f ca="1">IF(ISERROR($S223),"",OFFSET('Smelter Reference List'!$H$4,$S223-4,0))</f>
        <v>Dayuan</v>
      </c>
      <c r="J223" s="294" t="str">
        <f ca="1">IF(ISERROR($S223),"",OFFSET('Smelter Reference List'!$I$4,$S223-4,0))</f>
        <v>Taoyuan</v>
      </c>
      <c r="K223" s="295"/>
      <c r="L223" s="295"/>
      <c r="M223" s="295"/>
      <c r="N223" s="295"/>
      <c r="O223" s="295"/>
      <c r="P223" s="295"/>
      <c r="Q223" s="296"/>
      <c r="R223" s="227"/>
      <c r="S223" s="228">
        <f ca="1">IF(C223="",NA(),MATCH($B223&amp;$C223,'Smelter Reference List'!$J:$J,0))</f>
        <v>185</v>
      </c>
      <c r="T223" s="229"/>
      <c r="U223" s="229">
        <f t="shared" ca="1" si="8"/>
        <v>0</v>
      </c>
      <c r="V223" s="229"/>
      <c r="W223" s="229"/>
      <c r="Y223" s="223" t="str">
        <f t="shared" ca="1" si="9"/>
        <v>GoldSingway Technology Co., Ltd.</v>
      </c>
    </row>
    <row r="224" spans="1:25" s="223" customFormat="1" ht="20.25">
      <c r="A224" s="291" t="s">
        <v>2659</v>
      </c>
      <c r="B224" s="292" t="str">
        <f ca="1">IF(LEN(A224)=0,"",INDEX('Smelter Reference List'!$A:$A,MATCH($A224,'Smelter Reference List'!$E:$E,0)))</f>
        <v>Tin</v>
      </c>
      <c r="C224" s="298" t="str">
        <f ca="1">IF(LEN(A224)=0,"",INDEX('Smelter Reference List'!$C:$C,MATCH($A224,'Smelter Reference List'!$E:$E,0)))</f>
        <v>O.M. Manufacturing Philippines, Inc.</v>
      </c>
      <c r="D224" s="292" t="str">
        <f ca="1">IF(ISERROR($S224),"",OFFSET('Smelter Reference List'!$C$4,$S224-4,0)&amp;"")</f>
        <v>O.M. Manufacturing Philippines, Inc.</v>
      </c>
      <c r="E224" s="292" t="str">
        <f ca="1">IF(ISERROR($S224),"",OFFSET('Smelter Reference List'!$D$4,$S224-4,0)&amp;"")</f>
        <v>PHILIPPINES</v>
      </c>
      <c r="F224" s="292" t="str">
        <f ca="1">IF(ISERROR($S224),"",OFFSET('Smelter Reference List'!$E$4,$S224-4,0))</f>
        <v>CID002517</v>
      </c>
      <c r="G224" s="292" t="str">
        <f ca="1">IF(C224=$U$4,"Enter smelter details", IF(ISERROR($S224),"",OFFSET('Smelter Reference List'!$F$4,$S224-4,0)))</f>
        <v>CFSI</v>
      </c>
      <c r="H224" s="293">
        <f ca="1">IF(ISERROR($S224),"",OFFSET('Smelter Reference List'!$G$4,$S224-4,0))</f>
        <v>0</v>
      </c>
      <c r="I224" s="294" t="str">
        <f ca="1">IF(ISERROR($S224),"",OFFSET('Smelter Reference List'!$H$4,$S224-4,0))</f>
        <v>Cavite Economic Zone</v>
      </c>
      <c r="J224" s="294" t="str">
        <f ca="1">IF(ISERROR($S224),"",OFFSET('Smelter Reference List'!$I$4,$S224-4,0))</f>
        <v>Rosario Cavite</v>
      </c>
      <c r="K224" s="295"/>
      <c r="L224" s="295"/>
      <c r="M224" s="295"/>
      <c r="N224" s="295"/>
      <c r="O224" s="295"/>
      <c r="P224" s="295"/>
      <c r="Q224" s="296"/>
      <c r="R224" s="227"/>
      <c r="S224" s="228">
        <f ca="1">IF(C224="",NA(),MATCH($B224&amp;$C224,'Smelter Reference List'!$J:$J,0))</f>
        <v>395</v>
      </c>
      <c r="T224" s="229"/>
      <c r="U224" s="229">
        <f t="shared" ca="1" si="8"/>
        <v>0</v>
      </c>
      <c r="V224" s="229"/>
      <c r="W224" s="229"/>
      <c r="Y224" s="223" t="str">
        <f t="shared" ca="1" si="9"/>
        <v>TinO.M. Manufacturing Philippines, Inc.</v>
      </c>
    </row>
    <row r="225" spans="1:25" s="223" customFormat="1" ht="20.25">
      <c r="A225" s="291" t="s">
        <v>2663</v>
      </c>
      <c r="B225" s="292" t="str">
        <f ca="1">IF(LEN(A225)=0,"",INDEX('Smelter Reference List'!$A:$A,MATCH($A225,'Smelter Reference List'!$E:$E,0)))</f>
        <v>Tin</v>
      </c>
      <c r="C225" s="298" t="str">
        <f ca="1">IF(LEN(A225)=0,"",INDEX('Smelter Reference List'!$C:$C,MATCH($A225,'Smelter Reference List'!$E:$E,0)))</f>
        <v>PT Inti Stania Prima</v>
      </c>
      <c r="D225" s="292" t="str">
        <f ca="1">IF(ISERROR($S225),"",OFFSET('Smelter Reference List'!$C$4,$S225-4,0)&amp;"")</f>
        <v>PT Inti Stania Prima</v>
      </c>
      <c r="E225" s="292" t="str">
        <f ca="1">IF(ISERROR($S225),"",OFFSET('Smelter Reference List'!$D$4,$S225-4,0)&amp;"")</f>
        <v>INDONESIA</v>
      </c>
      <c r="F225" s="292" t="str">
        <f ca="1">IF(ISERROR($S225),"",OFFSET('Smelter Reference List'!$E$4,$S225-4,0))</f>
        <v>CID002530</v>
      </c>
      <c r="G225" s="292" t="str">
        <f ca="1">IF(C225=$U$4,"Enter smelter details", IF(ISERROR($S225),"",OFFSET('Smelter Reference List'!$F$4,$S225-4,0)))</f>
        <v>CFSI</v>
      </c>
      <c r="H225" s="293">
        <f ca="1">IF(ISERROR($S225),"",OFFSET('Smelter Reference List'!$G$4,$S225-4,0))</f>
        <v>0</v>
      </c>
      <c r="I225" s="294" t="str">
        <f ca="1">IF(ISERROR($S225),"",OFFSET('Smelter Reference List'!$H$4,$S225-4,0))</f>
        <v>Sungailiat</v>
      </c>
      <c r="J225" s="294" t="str">
        <f ca="1">IF(ISERROR($S225),"",OFFSET('Smelter Reference List'!$I$4,$S225-4,0))</f>
        <v>Bangka</v>
      </c>
      <c r="K225" s="295"/>
      <c r="L225" s="295"/>
      <c r="M225" s="295"/>
      <c r="N225" s="295"/>
      <c r="O225" s="295"/>
      <c r="P225" s="295"/>
      <c r="Q225" s="296"/>
      <c r="R225" s="227"/>
      <c r="S225" s="228">
        <f ca="1">IF(C225="",NA(),MATCH($B225&amp;$C225,'Smelter Reference List'!$J:$J,0))</f>
        <v>413</v>
      </c>
      <c r="T225" s="229"/>
      <c r="U225" s="229">
        <f t="shared" ca="1" si="8"/>
        <v>0</v>
      </c>
      <c r="V225" s="229"/>
      <c r="W225" s="229"/>
      <c r="Y225" s="223" t="str">
        <f t="shared" ca="1" si="9"/>
        <v>TinPT Inti Stania Prima</v>
      </c>
    </row>
    <row r="226" spans="1:25" s="223" customFormat="1" ht="20.25">
      <c r="A226" s="291" t="s">
        <v>2676</v>
      </c>
      <c r="B226" s="292" t="str">
        <f ca="1">IF(LEN(A226)=0,"",INDEX('Smelter Reference List'!$A:$A,MATCH($A226,'Smelter Reference List'!$E:$E,0)))</f>
        <v>Tungsten</v>
      </c>
      <c r="C226" s="298" t="str">
        <f ca="1">IF(LEN(A226)=0,"",INDEX('Smelter Reference List'!$C:$C,MATCH($A226,'Smelter Reference List'!$E:$E,0)))</f>
        <v>Jiangxi Xiushui Xianggan Nonferrous Metals Co., Ltd.</v>
      </c>
      <c r="D226" s="292" t="str">
        <f ca="1">IF(ISERROR($S226),"",OFFSET('Smelter Reference List'!$C$4,$S226-4,0)&amp;"")</f>
        <v>Jiangxi Xiushui Xianggan Nonferrous Metals Co., Ltd.</v>
      </c>
      <c r="E226" s="292" t="str">
        <f ca="1">IF(ISERROR($S226),"",OFFSET('Smelter Reference List'!$D$4,$S226-4,0)&amp;"")</f>
        <v>CHINA</v>
      </c>
      <c r="F226" s="292" t="str">
        <f ca="1">IF(ISERROR($S226),"",OFFSET('Smelter Reference List'!$E$4,$S226-4,0))</f>
        <v>CID002535</v>
      </c>
      <c r="G226" s="292" t="str">
        <f ca="1">IF(C226=$U$4,"Enter smelter details", IF(ISERROR($S226),"",OFFSET('Smelter Reference List'!$F$4,$S226-4,0)))</f>
        <v>CFSI</v>
      </c>
      <c r="H226" s="293">
        <f ca="1">IF(ISERROR($S226),"",OFFSET('Smelter Reference List'!$G$4,$S226-4,0))</f>
        <v>0</v>
      </c>
      <c r="I226" s="294" t="str">
        <f ca="1">IF(ISERROR($S226),"",OFFSET('Smelter Reference List'!$H$4,$S226-4,0))</f>
        <v>Xiushui</v>
      </c>
      <c r="J226" s="294" t="str">
        <f ca="1">IF(ISERROR($S226),"",OFFSET('Smelter Reference List'!$I$4,$S226-4,0))</f>
        <v>Jiangxi</v>
      </c>
      <c r="K226" s="295"/>
      <c r="L226" s="295"/>
      <c r="M226" s="295"/>
      <c r="N226" s="295"/>
      <c r="O226" s="295"/>
      <c r="P226" s="295"/>
      <c r="Q226" s="296"/>
      <c r="R226" s="227"/>
      <c r="S226" s="228">
        <f ca="1">IF(C226="",NA(),MATCH($B226&amp;$C226,'Smelter Reference List'!$J:$J,0))</f>
        <v>505</v>
      </c>
      <c r="T226" s="229"/>
      <c r="U226" s="229">
        <f t="shared" ca="1" si="8"/>
        <v>0</v>
      </c>
      <c r="V226" s="229"/>
      <c r="W226" s="229"/>
      <c r="Y226" s="223" t="str">
        <f t="shared" ca="1" si="9"/>
        <v>TungstenJiangxi Xiushui Xianggan Nonferrous Metals Co., Ltd.</v>
      </c>
    </row>
    <row r="227" spans="1:25" s="223" customFormat="1" ht="20.25">
      <c r="A227" s="291" t="s">
        <v>2674</v>
      </c>
      <c r="B227" s="292" t="str">
        <f ca="1">IF(LEN(A227)=0,"",INDEX('Smelter Reference List'!$A:$A,MATCH($A227,'Smelter Reference List'!$E:$E,0)))</f>
        <v>Tungsten</v>
      </c>
      <c r="C227" s="298" t="str">
        <f ca="1">IF(LEN(A227)=0,"",INDEX('Smelter Reference List'!$C:$C,MATCH($A227,'Smelter Reference List'!$E:$E,0)))</f>
        <v>Ganzhou Yatai Tungsten Co., Ltd.</v>
      </c>
      <c r="D227" s="292" t="str">
        <f ca="1">IF(ISERROR($S227),"",OFFSET('Smelter Reference List'!$C$4,$S227-4,0)&amp;"")</f>
        <v>Ganzhou Yatai Tungsten Co., Ltd.</v>
      </c>
      <c r="E227" s="292" t="str">
        <f ca="1">IF(ISERROR($S227),"",OFFSET('Smelter Reference List'!$D$4,$S227-4,0)&amp;"")</f>
        <v>CHINA</v>
      </c>
      <c r="F227" s="292" t="str">
        <f ca="1">IF(ISERROR($S227),"",OFFSET('Smelter Reference List'!$E$4,$S227-4,0))</f>
        <v>CID002536</v>
      </c>
      <c r="G227" s="292" t="str">
        <f ca="1">IF(C227=$U$4,"Enter smelter details", IF(ISERROR($S227),"",OFFSET('Smelter Reference List'!$F$4,$S227-4,0)))</f>
        <v>CFSI</v>
      </c>
      <c r="H227" s="293">
        <f ca="1">IF(ISERROR($S227),"",OFFSET('Smelter Reference List'!$G$4,$S227-4,0))</f>
        <v>0</v>
      </c>
      <c r="I227" s="294" t="str">
        <f ca="1">IF(ISERROR($S227),"",OFFSET('Smelter Reference List'!$H$4,$S227-4,0))</f>
        <v>Ganzhou</v>
      </c>
      <c r="J227" s="294" t="str">
        <f ca="1">IF(ISERROR($S227),"",OFFSET('Smelter Reference List'!$I$4,$S227-4,0))</f>
        <v>Jiangxi</v>
      </c>
      <c r="K227" s="295"/>
      <c r="L227" s="295"/>
      <c r="M227" s="295"/>
      <c r="N227" s="295"/>
      <c r="O227" s="295"/>
      <c r="P227" s="295"/>
      <c r="Q227" s="296"/>
      <c r="R227" s="227"/>
      <c r="S227" s="228">
        <f ca="1">IF(C227="",NA(),MATCH($B227&amp;$C227,'Smelter Reference List'!$J:$J,0))</f>
        <v>484</v>
      </c>
      <c r="T227" s="229"/>
      <c r="U227" s="229">
        <f t="shared" ca="1" si="8"/>
        <v>0</v>
      </c>
      <c r="V227" s="229"/>
      <c r="W227" s="229"/>
      <c r="Y227" s="223" t="str">
        <f t="shared" ca="1" si="9"/>
        <v>TungstenGanzhou Yatai Tungsten Co., Ltd.</v>
      </c>
    </row>
    <row r="228" spans="1:25" s="223" customFormat="1" ht="20.25">
      <c r="A228" s="291" t="s">
        <v>2700</v>
      </c>
      <c r="B228" s="292" t="str">
        <f ca="1">IF(LEN(A228)=0,"",INDEX('Smelter Reference List'!$A:$A,MATCH($A228,'Smelter Reference List'!$E:$E,0)))</f>
        <v>Tantalum</v>
      </c>
      <c r="C228" s="298" t="str">
        <f ca="1">IF(LEN(A228)=0,"",INDEX('Smelter Reference List'!$C:$C,MATCH($A228,'Smelter Reference List'!$E:$E,0)))</f>
        <v>KEMET Blue Metals</v>
      </c>
      <c r="D228" s="292" t="str">
        <f ca="1">IF(ISERROR($S228),"",OFFSET('Smelter Reference List'!$C$4,$S228-4,0)&amp;"")</f>
        <v>KEMET Blue Metals</v>
      </c>
      <c r="E228" s="292" t="str">
        <f ca="1">IF(ISERROR($S228),"",OFFSET('Smelter Reference List'!$D$4,$S228-4,0)&amp;"")</f>
        <v>MEXICO</v>
      </c>
      <c r="F228" s="292" t="str">
        <f ca="1">IF(ISERROR($S228),"",OFFSET('Smelter Reference List'!$E$4,$S228-4,0))</f>
        <v>CID002539</v>
      </c>
      <c r="G228" s="292" t="str">
        <f ca="1">IF(C228=$U$4,"Enter smelter details", IF(ISERROR($S228),"",OFFSET('Smelter Reference List'!$F$4,$S228-4,0)))</f>
        <v>CFSI</v>
      </c>
      <c r="H228" s="293">
        <f ca="1">IF(ISERROR($S228),"",OFFSET('Smelter Reference List'!$G$4,$S228-4,0))</f>
        <v>0</v>
      </c>
      <c r="I228" s="294" t="str">
        <f ca="1">IF(ISERROR($S228),"",OFFSET('Smelter Reference List'!$H$4,$S228-4,0))</f>
        <v>Matamoros</v>
      </c>
      <c r="J228" s="294" t="str">
        <f ca="1">IF(ISERROR($S228),"",OFFSET('Smelter Reference List'!$I$4,$S228-4,0))</f>
        <v>Tamaulipas</v>
      </c>
      <c r="K228" s="295"/>
      <c r="L228" s="295"/>
      <c r="M228" s="295"/>
      <c r="N228" s="295"/>
      <c r="O228" s="295"/>
      <c r="P228" s="295"/>
      <c r="Q228" s="296"/>
      <c r="R228" s="227"/>
      <c r="S228" s="228">
        <f ca="1">IF(C228="",NA(),MATCH($B228&amp;$C228,'Smelter Reference List'!$J:$J,0))</f>
        <v>274</v>
      </c>
      <c r="T228" s="229"/>
      <c r="U228" s="229">
        <f t="shared" ca="1" si="8"/>
        <v>0</v>
      </c>
      <c r="V228" s="229"/>
      <c r="W228" s="229"/>
      <c r="Y228" s="223" t="str">
        <f t="shared" ca="1" si="9"/>
        <v>TantalumKEMET Blue Metals</v>
      </c>
    </row>
    <row r="229" spans="1:25" s="223" customFormat="1" ht="20.25">
      <c r="A229" s="291" t="s">
        <v>2702</v>
      </c>
      <c r="B229" s="292" t="str">
        <f ca="1">IF(LEN(A229)=0,"",INDEX('Smelter Reference List'!$A:$A,MATCH($A229,'Smelter Reference List'!$E:$E,0)))</f>
        <v>Tantalum</v>
      </c>
      <c r="C229" s="298" t="str">
        <f ca="1">IF(LEN(A229)=0,"",INDEX('Smelter Reference List'!$C:$C,MATCH($A229,'Smelter Reference List'!$E:$E,0)))</f>
        <v>Plansee SE Liezen</v>
      </c>
      <c r="D229" s="292" t="str">
        <f ca="1">IF(ISERROR($S229),"",OFFSET('Smelter Reference List'!$C$4,$S229-4,0)&amp;"")</f>
        <v>Plansee SE Liezen</v>
      </c>
      <c r="E229" s="292" t="str">
        <f ca="1">IF(ISERROR($S229),"",OFFSET('Smelter Reference List'!$D$4,$S229-4,0)&amp;"")</f>
        <v>AUSTRIA</v>
      </c>
      <c r="F229" s="292" t="str">
        <f ca="1">IF(ISERROR($S229),"",OFFSET('Smelter Reference List'!$E$4,$S229-4,0))</f>
        <v>CID002540</v>
      </c>
      <c r="G229" s="292" t="str">
        <f ca="1">IF(C229=$U$4,"Enter smelter details", IF(ISERROR($S229),"",OFFSET('Smelter Reference List'!$F$4,$S229-4,0)))</f>
        <v>CFSI</v>
      </c>
      <c r="H229" s="293">
        <f ca="1">IF(ISERROR($S229),"",OFFSET('Smelter Reference List'!$G$4,$S229-4,0))</f>
        <v>0</v>
      </c>
      <c r="I229" s="294" t="str">
        <f ca="1">IF(ISERROR($S229),"",OFFSET('Smelter Reference List'!$H$4,$S229-4,0))</f>
        <v>Liezen</v>
      </c>
      <c r="J229" s="294" t="str">
        <f ca="1">IF(ISERROR($S229),"",OFFSET('Smelter Reference List'!$I$4,$S229-4,0))</f>
        <v>Styria</v>
      </c>
      <c r="K229" s="295"/>
      <c r="L229" s="295"/>
      <c r="M229" s="295"/>
      <c r="N229" s="295"/>
      <c r="O229" s="295"/>
      <c r="P229" s="295"/>
      <c r="Q229" s="296"/>
      <c r="R229" s="227"/>
      <c r="S229" s="228">
        <f ca="1">IF(C229="",NA(),MATCH($B229&amp;$C229,'Smelter Reference List'!$J:$J,0))</f>
        <v>285</v>
      </c>
      <c r="T229" s="229"/>
      <c r="U229" s="229">
        <f t="shared" ca="1" si="8"/>
        <v>0</v>
      </c>
      <c r="V229" s="229"/>
      <c r="W229" s="229"/>
      <c r="Y229" s="223" t="str">
        <f t="shared" ca="1" si="9"/>
        <v>TantalumPlansee SE Liezen</v>
      </c>
    </row>
    <row r="230" spans="1:25" s="223" customFormat="1" ht="20.25">
      <c r="A230" s="291" t="s">
        <v>2707</v>
      </c>
      <c r="B230" s="292" t="str">
        <f ca="1">IF(LEN(A230)=0,"",INDEX('Smelter Reference List'!$A:$A,MATCH($A230,'Smelter Reference List'!$E:$E,0)))</f>
        <v>Tungsten</v>
      </c>
      <c r="C230" s="298" t="str">
        <f ca="1">IF(LEN(A230)=0,"",INDEX('Smelter Reference List'!$C:$C,MATCH($A230,'Smelter Reference List'!$E:$E,0)))</f>
        <v>H.C. Starck GmbH</v>
      </c>
      <c r="D230" s="292" t="str">
        <f ca="1">IF(ISERROR($S230),"",OFFSET('Smelter Reference List'!$C$4,$S230-4,0)&amp;"")</f>
        <v>H.C. Starck GmbH</v>
      </c>
      <c r="E230" s="292" t="str">
        <f ca="1">IF(ISERROR($S230),"",OFFSET('Smelter Reference List'!$D$4,$S230-4,0)&amp;"")</f>
        <v>GERMANY</v>
      </c>
      <c r="F230" s="292" t="str">
        <f ca="1">IF(ISERROR($S230),"",OFFSET('Smelter Reference List'!$E$4,$S230-4,0))</f>
        <v>CID002541</v>
      </c>
      <c r="G230" s="292" t="str">
        <f ca="1">IF(C230=$U$4,"Enter smelter details", IF(ISERROR($S230),"",OFFSET('Smelter Reference List'!$F$4,$S230-4,0)))</f>
        <v>CFSI</v>
      </c>
      <c r="H230" s="293">
        <f ca="1">IF(ISERROR($S230),"",OFFSET('Smelter Reference List'!$G$4,$S230-4,0))</f>
        <v>0</v>
      </c>
      <c r="I230" s="294" t="str">
        <f ca="1">IF(ISERROR($S230),"",OFFSET('Smelter Reference List'!$H$4,$S230-4,0))</f>
        <v>Goslar</v>
      </c>
      <c r="J230" s="294" t="str">
        <f ca="1">IF(ISERROR($S230),"",OFFSET('Smelter Reference List'!$I$4,$S230-4,0))</f>
        <v>Lower Saxony</v>
      </c>
      <c r="K230" s="295"/>
      <c r="L230" s="295"/>
      <c r="M230" s="295"/>
      <c r="N230" s="295"/>
      <c r="O230" s="295"/>
      <c r="P230" s="295"/>
      <c r="Q230" s="296"/>
      <c r="R230" s="227"/>
      <c r="S230" s="228">
        <f ca="1">IF(C230="",NA(),MATCH($B230&amp;$C230,'Smelter Reference List'!$J:$J,0))</f>
        <v>488</v>
      </c>
      <c r="T230" s="229"/>
      <c r="U230" s="229">
        <f t="shared" ca="1" si="8"/>
        <v>0</v>
      </c>
      <c r="V230" s="229"/>
      <c r="W230" s="229"/>
      <c r="Y230" s="223" t="str">
        <f t="shared" ca="1" si="9"/>
        <v>TungstenH.C. Starck GmbH</v>
      </c>
    </row>
    <row r="231" spans="1:25" s="223" customFormat="1" ht="20.25">
      <c r="A231" s="291" t="s">
        <v>2708</v>
      </c>
      <c r="B231" s="292" t="str">
        <f ca="1">IF(LEN(A231)=0,"",INDEX('Smelter Reference List'!$A:$A,MATCH($A231,'Smelter Reference List'!$E:$E,0)))</f>
        <v>Tungsten</v>
      </c>
      <c r="C231" s="298" t="str">
        <f ca="1">IF(LEN(A231)=0,"",INDEX('Smelter Reference List'!$C:$C,MATCH($A231,'Smelter Reference List'!$E:$E,0)))</f>
        <v>H.C. Starck Smelting GmbH &amp; Co.KG</v>
      </c>
      <c r="D231" s="292" t="str">
        <f ca="1">IF(ISERROR($S231),"",OFFSET('Smelter Reference List'!$C$4,$S231-4,0)&amp;"")</f>
        <v>H.C. Starck Smelting GmbH &amp; Co.KG</v>
      </c>
      <c r="E231" s="292" t="str">
        <f ca="1">IF(ISERROR($S231),"",OFFSET('Smelter Reference List'!$D$4,$S231-4,0)&amp;"")</f>
        <v>GERMANY</v>
      </c>
      <c r="F231" s="292" t="str">
        <f ca="1">IF(ISERROR($S231),"",OFFSET('Smelter Reference List'!$E$4,$S231-4,0))</f>
        <v>CID002542</v>
      </c>
      <c r="G231" s="292" t="str">
        <f ca="1">IF(C231=$U$4,"Enter smelter details", IF(ISERROR($S231),"",OFFSET('Smelter Reference List'!$F$4,$S231-4,0)))</f>
        <v>CFSI</v>
      </c>
      <c r="H231" s="293">
        <f ca="1">IF(ISERROR($S231),"",OFFSET('Smelter Reference List'!$G$4,$S231-4,0))</f>
        <v>0</v>
      </c>
      <c r="I231" s="294" t="str">
        <f ca="1">IF(ISERROR($S231),"",OFFSET('Smelter Reference List'!$H$4,$S231-4,0))</f>
        <v>Laufenburg</v>
      </c>
      <c r="J231" s="294" t="str">
        <f ca="1">IF(ISERROR($S231),"",OFFSET('Smelter Reference List'!$I$4,$S231-4,0))</f>
        <v>Baden-Württemberg</v>
      </c>
      <c r="K231" s="295"/>
      <c r="L231" s="295"/>
      <c r="M231" s="295"/>
      <c r="N231" s="295"/>
      <c r="O231" s="295"/>
      <c r="P231" s="295"/>
      <c r="Q231" s="296"/>
      <c r="R231" s="227"/>
      <c r="S231" s="228">
        <f ca="1">IF(C231="",NA(),MATCH($B231&amp;$C231,'Smelter Reference List'!$J:$J,0))</f>
        <v>489</v>
      </c>
      <c r="T231" s="229"/>
      <c r="U231" s="229">
        <f t="shared" ca="1" si="8"/>
        <v>0</v>
      </c>
      <c r="V231" s="229"/>
      <c r="W231" s="229"/>
      <c r="Y231" s="223" t="str">
        <f t="shared" ca="1" si="9"/>
        <v>TungstenH.C. Starck Smelting GmbH &amp; Co.KG</v>
      </c>
    </row>
    <row r="232" spans="1:25" s="223" customFormat="1" ht="20.25">
      <c r="A232" s="291" t="s">
        <v>2711</v>
      </c>
      <c r="B232" s="292" t="str">
        <f ca="1">IF(LEN(A232)=0,"",INDEX('Smelter Reference List'!$A:$A,MATCH($A232,'Smelter Reference List'!$E:$E,0)))</f>
        <v>Tungsten</v>
      </c>
      <c r="C232" s="298" t="str">
        <f ca="1">IF(LEN(A232)=0,"",INDEX('Smelter Reference List'!$C:$C,MATCH($A232,'Smelter Reference List'!$E:$E,0)))</f>
        <v>Nui Phao H.C. Starck Tungsten Chemicals Manufacturing LLC</v>
      </c>
      <c r="D232" s="292" t="str">
        <f ca="1">IF(ISERROR($S232),"",OFFSET('Smelter Reference List'!$C$4,$S232-4,0)&amp;"")</f>
        <v>Nui Phao H.C. Starck Tungsten Chemicals Manufacturing LLC</v>
      </c>
      <c r="E232" s="292" t="str">
        <f ca="1">IF(ISERROR($S232),"",OFFSET('Smelter Reference List'!$D$4,$S232-4,0)&amp;"")</f>
        <v>VIET NAM</v>
      </c>
      <c r="F232" s="292" t="str">
        <f ca="1">IF(ISERROR($S232),"",OFFSET('Smelter Reference List'!$E$4,$S232-4,0))</f>
        <v>CID002543</v>
      </c>
      <c r="G232" s="292" t="str">
        <f ca="1">IF(C232=$U$4,"Enter smelter details", IF(ISERROR($S232),"",OFFSET('Smelter Reference List'!$F$4,$S232-4,0)))</f>
        <v>CFSI</v>
      </c>
      <c r="H232" s="293">
        <f ca="1">IF(ISERROR($S232),"",OFFSET('Smelter Reference List'!$G$4,$S232-4,0))</f>
        <v>0</v>
      </c>
      <c r="I232" s="294" t="str">
        <f ca="1">IF(ISERROR($S232),"",OFFSET('Smelter Reference List'!$H$4,$S232-4,0))</f>
        <v>Dai Tu</v>
      </c>
      <c r="J232" s="294" t="str">
        <f ca="1">IF(ISERROR($S232),"",OFFSET('Smelter Reference List'!$I$4,$S232-4,0))</f>
        <v>Thai Nguyen</v>
      </c>
      <c r="K232" s="295"/>
      <c r="L232" s="295"/>
      <c r="M232" s="295"/>
      <c r="N232" s="295"/>
      <c r="O232" s="295"/>
      <c r="P232" s="295"/>
      <c r="Q232" s="296"/>
      <c r="R232" s="227"/>
      <c r="S232" s="228">
        <f ca="1">IF(C232="",NA(),MATCH($B232&amp;$C232,'Smelter Reference List'!$J:$J,0))</f>
        <v>512</v>
      </c>
      <c r="T232" s="229"/>
      <c r="U232" s="229">
        <f t="shared" ca="1" si="8"/>
        <v>0</v>
      </c>
      <c r="V232" s="229"/>
      <c r="W232" s="229"/>
      <c r="Y232" s="223" t="str">
        <f t="shared" ca="1" si="9"/>
        <v>TungstenNui Phao H.C. Starck Tungsten Chemicals Manufacturing LLC</v>
      </c>
    </row>
    <row r="233" spans="1:25" s="223" customFormat="1" ht="20.25">
      <c r="A233" s="291" t="s">
        <v>2686</v>
      </c>
      <c r="B233" s="292" t="str">
        <f ca="1">IF(LEN(A233)=0,"",INDEX('Smelter Reference List'!$A:$A,MATCH($A233,'Smelter Reference List'!$E:$E,0)))</f>
        <v>Tantalum</v>
      </c>
      <c r="C233" s="298" t="str">
        <f ca="1">IF(LEN(A233)=0,"",INDEX('Smelter Reference List'!$C:$C,MATCH($A233,'Smelter Reference List'!$E:$E,0)))</f>
        <v>H.C. Starck Co., Ltd.</v>
      </c>
      <c r="D233" s="292" t="str">
        <f ca="1">IF(ISERROR($S233),"",OFFSET('Smelter Reference List'!$C$4,$S233-4,0)&amp;"")</f>
        <v>H.C. Starck Co., Ltd.</v>
      </c>
      <c r="E233" s="292" t="str">
        <f ca="1">IF(ISERROR($S233),"",OFFSET('Smelter Reference List'!$D$4,$S233-4,0)&amp;"")</f>
        <v>THAILAND</v>
      </c>
      <c r="F233" s="292" t="str">
        <f ca="1">IF(ISERROR($S233),"",OFFSET('Smelter Reference List'!$E$4,$S233-4,0))</f>
        <v>CID002544</v>
      </c>
      <c r="G233" s="292" t="str">
        <f ca="1">IF(C233=$U$4,"Enter smelter details", IF(ISERROR($S233),"",OFFSET('Smelter Reference List'!$F$4,$S233-4,0)))</f>
        <v>CFSI</v>
      </c>
      <c r="H233" s="293">
        <f ca="1">IF(ISERROR($S233),"",OFFSET('Smelter Reference List'!$G$4,$S233-4,0))</f>
        <v>0</v>
      </c>
      <c r="I233" s="294" t="str">
        <f ca="1">IF(ISERROR($S233),"",OFFSET('Smelter Reference List'!$H$4,$S233-4,0))</f>
        <v>Map Ta Phut</v>
      </c>
      <c r="J233" s="294" t="str">
        <f ca="1">IF(ISERROR($S233),"",OFFSET('Smelter Reference List'!$I$4,$S233-4,0))</f>
        <v>Rayong</v>
      </c>
      <c r="K233" s="295"/>
      <c r="L233" s="295"/>
      <c r="M233" s="295"/>
      <c r="N233" s="295"/>
      <c r="O233" s="295"/>
      <c r="P233" s="295"/>
      <c r="Q233" s="296"/>
      <c r="R233" s="227"/>
      <c r="S233" s="228">
        <f ca="1">IF(C233="",NA(),MATCH($B233&amp;$C233,'Smelter Reference List'!$J:$J,0))</f>
        <v>259</v>
      </c>
      <c r="T233" s="229"/>
      <c r="U233" s="229">
        <f t="shared" ca="1" si="8"/>
        <v>0</v>
      </c>
      <c r="V233" s="229"/>
      <c r="W233" s="229"/>
      <c r="Y233" s="223" t="str">
        <f t="shared" ca="1" si="9"/>
        <v>TantalumH.C. Starck Co., Ltd.</v>
      </c>
    </row>
    <row r="234" spans="1:25" s="223" customFormat="1" ht="20.25">
      <c r="A234" s="291" t="s">
        <v>2688</v>
      </c>
      <c r="B234" s="292" t="str">
        <f ca="1">IF(LEN(A234)=0,"",INDEX('Smelter Reference List'!$A:$A,MATCH($A234,'Smelter Reference List'!$E:$E,0)))</f>
        <v>Tantalum</v>
      </c>
      <c r="C234" s="298" t="str">
        <f ca="1">IF(LEN(A234)=0,"",INDEX('Smelter Reference List'!$C:$C,MATCH($A234,'Smelter Reference List'!$E:$E,0)))</f>
        <v>H.C. Starck GmbH Goslar</v>
      </c>
      <c r="D234" s="292" t="str">
        <f ca="1">IF(ISERROR($S234),"",OFFSET('Smelter Reference List'!$C$4,$S234-4,0)&amp;"")</f>
        <v>H.C. Starck GmbH Goslar</v>
      </c>
      <c r="E234" s="292" t="str">
        <f ca="1">IF(ISERROR($S234),"",OFFSET('Smelter Reference List'!$D$4,$S234-4,0)&amp;"")</f>
        <v>GERMANY</v>
      </c>
      <c r="F234" s="292" t="str">
        <f ca="1">IF(ISERROR($S234),"",OFFSET('Smelter Reference List'!$E$4,$S234-4,0))</f>
        <v>CID002545</v>
      </c>
      <c r="G234" s="292" t="str">
        <f ca="1">IF(C234=$U$4,"Enter smelter details", IF(ISERROR($S234),"",OFFSET('Smelter Reference List'!$F$4,$S234-4,0)))</f>
        <v>CFSI</v>
      </c>
      <c r="H234" s="293">
        <f ca="1">IF(ISERROR($S234),"",OFFSET('Smelter Reference List'!$G$4,$S234-4,0))</f>
        <v>0</v>
      </c>
      <c r="I234" s="294" t="str">
        <f ca="1">IF(ISERROR($S234),"",OFFSET('Smelter Reference List'!$H$4,$S234-4,0))</f>
        <v>Goslar</v>
      </c>
      <c r="J234" s="294" t="str">
        <f ca="1">IF(ISERROR($S234),"",OFFSET('Smelter Reference List'!$I$4,$S234-4,0))</f>
        <v>Lower Saxony</v>
      </c>
      <c r="K234" s="295"/>
      <c r="L234" s="295"/>
      <c r="M234" s="295"/>
      <c r="N234" s="295"/>
      <c r="O234" s="295"/>
      <c r="P234" s="295"/>
      <c r="Q234" s="296"/>
      <c r="R234" s="227"/>
      <c r="S234" s="228">
        <f ca="1">IF(C234="",NA(),MATCH($B234&amp;$C234,'Smelter Reference List'!$J:$J,0))</f>
        <v>260</v>
      </c>
      <c r="T234" s="229"/>
      <c r="U234" s="229">
        <f t="shared" ca="1" si="8"/>
        <v>0</v>
      </c>
      <c r="V234" s="229"/>
      <c r="W234" s="229"/>
      <c r="Y234" s="223" t="str">
        <f t="shared" ca="1" si="9"/>
        <v>TantalumH.C. Starck GmbH Goslar</v>
      </c>
    </row>
    <row r="235" spans="1:25" s="223" customFormat="1" ht="20.25">
      <c r="A235" s="291" t="s">
        <v>2690</v>
      </c>
      <c r="B235" s="292" t="str">
        <f ca="1">IF(LEN(A235)=0,"",INDEX('Smelter Reference List'!$A:$A,MATCH($A235,'Smelter Reference List'!$E:$E,0)))</f>
        <v>Tantalum</v>
      </c>
      <c r="C235" s="298" t="str">
        <f ca="1">IF(LEN(A235)=0,"",INDEX('Smelter Reference List'!$C:$C,MATCH($A235,'Smelter Reference List'!$E:$E,0)))</f>
        <v>H.C. Starck GmbH Laufenburg</v>
      </c>
      <c r="D235" s="292" t="str">
        <f ca="1">IF(ISERROR($S235),"",OFFSET('Smelter Reference List'!$C$4,$S235-4,0)&amp;"")</f>
        <v>H.C. Starck GmbH Laufenburg</v>
      </c>
      <c r="E235" s="292" t="str">
        <f ca="1">IF(ISERROR($S235),"",OFFSET('Smelter Reference List'!$D$4,$S235-4,0)&amp;"")</f>
        <v>GERMANY</v>
      </c>
      <c r="F235" s="292" t="str">
        <f ca="1">IF(ISERROR($S235),"",OFFSET('Smelter Reference List'!$E$4,$S235-4,0))</f>
        <v>CID002546</v>
      </c>
      <c r="G235" s="292" t="str">
        <f ca="1">IF(C235=$U$4,"Enter smelter details", IF(ISERROR($S235),"",OFFSET('Smelter Reference List'!$F$4,$S235-4,0)))</f>
        <v>CFSI</v>
      </c>
      <c r="H235" s="293">
        <f ca="1">IF(ISERROR($S235),"",OFFSET('Smelter Reference List'!$G$4,$S235-4,0))</f>
        <v>0</v>
      </c>
      <c r="I235" s="294" t="str">
        <f ca="1">IF(ISERROR($S235),"",OFFSET('Smelter Reference List'!$H$4,$S235-4,0))</f>
        <v>Laufenburg</v>
      </c>
      <c r="J235" s="294" t="str">
        <f ca="1">IF(ISERROR($S235),"",OFFSET('Smelter Reference List'!$I$4,$S235-4,0))</f>
        <v>Baden-Württemberg</v>
      </c>
      <c r="K235" s="295"/>
      <c r="L235" s="295"/>
      <c r="M235" s="295"/>
      <c r="N235" s="295"/>
      <c r="O235" s="295"/>
      <c r="P235" s="295"/>
      <c r="Q235" s="296"/>
      <c r="R235" s="227"/>
      <c r="S235" s="228">
        <f ca="1">IF(C235="",NA(),MATCH($B235&amp;$C235,'Smelter Reference List'!$J:$J,0))</f>
        <v>261</v>
      </c>
      <c r="T235" s="229"/>
      <c r="U235" s="229">
        <f t="shared" ca="1" si="8"/>
        <v>0</v>
      </c>
      <c r="V235" s="229"/>
      <c r="W235" s="229"/>
      <c r="Y235" s="223" t="str">
        <f t="shared" ca="1" si="9"/>
        <v>TantalumH.C. Starck GmbH Laufenburg</v>
      </c>
    </row>
    <row r="236" spans="1:25" s="223" customFormat="1" ht="20.25">
      <c r="A236" s="291" t="s">
        <v>2692</v>
      </c>
      <c r="B236" s="292" t="str">
        <f ca="1">IF(LEN(A236)=0,"",INDEX('Smelter Reference List'!$A:$A,MATCH($A236,'Smelter Reference List'!$E:$E,0)))</f>
        <v>Tantalum</v>
      </c>
      <c r="C236" s="298" t="str">
        <f ca="1">IF(LEN(A236)=0,"",INDEX('Smelter Reference List'!$C:$C,MATCH($A236,'Smelter Reference List'!$E:$E,0)))</f>
        <v>H.C. Starck Hermsdorf GmbH</v>
      </c>
      <c r="D236" s="292" t="str">
        <f ca="1">IF(ISERROR($S236),"",OFFSET('Smelter Reference List'!$C$4,$S236-4,0)&amp;"")</f>
        <v>H.C. Starck Hermsdorf GmbH</v>
      </c>
      <c r="E236" s="292" t="str">
        <f ca="1">IF(ISERROR($S236),"",OFFSET('Smelter Reference List'!$D$4,$S236-4,0)&amp;"")</f>
        <v>GERMANY</v>
      </c>
      <c r="F236" s="292" t="str">
        <f ca="1">IF(ISERROR($S236),"",OFFSET('Smelter Reference List'!$E$4,$S236-4,0))</f>
        <v>CID002547</v>
      </c>
      <c r="G236" s="292" t="str">
        <f ca="1">IF(C236=$U$4,"Enter smelter details", IF(ISERROR($S236),"",OFFSET('Smelter Reference List'!$F$4,$S236-4,0)))</f>
        <v>CFSI</v>
      </c>
      <c r="H236" s="293">
        <f ca="1">IF(ISERROR($S236),"",OFFSET('Smelter Reference List'!$G$4,$S236-4,0))</f>
        <v>0</v>
      </c>
      <c r="I236" s="294" t="str">
        <f ca="1">IF(ISERROR($S236),"",OFFSET('Smelter Reference List'!$H$4,$S236-4,0))</f>
        <v>Hermsdorf</v>
      </c>
      <c r="J236" s="294" t="str">
        <f ca="1">IF(ISERROR($S236),"",OFFSET('Smelter Reference List'!$I$4,$S236-4,0))</f>
        <v>Thuringia</v>
      </c>
      <c r="K236" s="295"/>
      <c r="L236" s="295"/>
      <c r="M236" s="295"/>
      <c r="N236" s="295"/>
      <c r="O236" s="295"/>
      <c r="P236" s="295"/>
      <c r="Q236" s="296"/>
      <c r="R236" s="227"/>
      <c r="S236" s="228">
        <f ca="1">IF(C236="",NA(),MATCH($B236&amp;$C236,'Smelter Reference List'!$J:$J,0))</f>
        <v>262</v>
      </c>
      <c r="T236" s="229"/>
      <c r="U236" s="229">
        <f t="shared" ca="1" si="8"/>
        <v>0</v>
      </c>
      <c r="V236" s="229"/>
      <c r="W236" s="229"/>
      <c r="Y236" s="223" t="str">
        <f t="shared" ca="1" si="9"/>
        <v>TantalumH.C. Starck Hermsdorf GmbH</v>
      </c>
    </row>
    <row r="237" spans="1:25" s="223" customFormat="1" ht="20.25">
      <c r="A237" s="291" t="s">
        <v>2694</v>
      </c>
      <c r="B237" s="292" t="str">
        <f ca="1">IF(LEN(A237)=0,"",INDEX('Smelter Reference List'!$A:$A,MATCH($A237,'Smelter Reference List'!$E:$E,0)))</f>
        <v>Tantalum</v>
      </c>
      <c r="C237" s="298" t="str">
        <f ca="1">IF(LEN(A237)=0,"",INDEX('Smelter Reference List'!$C:$C,MATCH($A237,'Smelter Reference List'!$E:$E,0)))</f>
        <v>H.C. Starck Inc.</v>
      </c>
      <c r="D237" s="292" t="str">
        <f ca="1">IF(ISERROR($S237),"",OFFSET('Smelter Reference List'!$C$4,$S237-4,0)&amp;"")</f>
        <v>H.C. Starck Inc.</v>
      </c>
      <c r="E237" s="292" t="str">
        <f ca="1">IF(ISERROR($S237),"",OFFSET('Smelter Reference List'!$D$4,$S237-4,0)&amp;"")</f>
        <v>UNITED STATES OF AMERICA</v>
      </c>
      <c r="F237" s="292" t="str">
        <f ca="1">IF(ISERROR($S237),"",OFFSET('Smelter Reference List'!$E$4,$S237-4,0))</f>
        <v>CID002548</v>
      </c>
      <c r="G237" s="292" t="str">
        <f ca="1">IF(C237=$U$4,"Enter smelter details", IF(ISERROR($S237),"",OFFSET('Smelter Reference List'!$F$4,$S237-4,0)))</f>
        <v>CFSI</v>
      </c>
      <c r="H237" s="293">
        <f ca="1">IF(ISERROR($S237),"",OFFSET('Smelter Reference List'!$G$4,$S237-4,0))</f>
        <v>0</v>
      </c>
      <c r="I237" s="294" t="str">
        <f ca="1">IF(ISERROR($S237),"",OFFSET('Smelter Reference List'!$H$4,$S237-4,0))</f>
        <v>Newton</v>
      </c>
      <c r="J237" s="294" t="str">
        <f ca="1">IF(ISERROR($S237),"",OFFSET('Smelter Reference List'!$I$4,$S237-4,0))</f>
        <v>Massachusetts</v>
      </c>
      <c r="K237" s="295"/>
      <c r="L237" s="295"/>
      <c r="M237" s="295"/>
      <c r="N237" s="295"/>
      <c r="O237" s="295"/>
      <c r="P237" s="295"/>
      <c r="Q237" s="296"/>
      <c r="R237" s="227"/>
      <c r="S237" s="228">
        <f ca="1">IF(C237="",NA(),MATCH($B237&amp;$C237,'Smelter Reference List'!$J:$J,0))</f>
        <v>263</v>
      </c>
      <c r="T237" s="229"/>
      <c r="U237" s="229">
        <f t="shared" ca="1" si="8"/>
        <v>0</v>
      </c>
      <c r="V237" s="229"/>
      <c r="W237" s="229"/>
      <c r="Y237" s="223" t="str">
        <f t="shared" ca="1" si="9"/>
        <v>TantalumH.C. Starck Inc.</v>
      </c>
    </row>
    <row r="238" spans="1:25" s="223" customFormat="1" ht="20.25">
      <c r="A238" s="291" t="s">
        <v>2696</v>
      </c>
      <c r="B238" s="292" t="str">
        <f ca="1">IF(LEN(A238)=0,"",INDEX('Smelter Reference List'!$A:$A,MATCH($A238,'Smelter Reference List'!$E:$E,0)))</f>
        <v>Tantalum</v>
      </c>
      <c r="C238" s="298" t="str">
        <f ca="1">IF(LEN(A238)=0,"",INDEX('Smelter Reference List'!$C:$C,MATCH($A238,'Smelter Reference List'!$E:$E,0)))</f>
        <v>H.C. Starck Ltd.</v>
      </c>
      <c r="D238" s="292" t="str">
        <f ca="1">IF(ISERROR($S238),"",OFFSET('Smelter Reference List'!$C$4,$S238-4,0)&amp;"")</f>
        <v>H.C. Starck Ltd.</v>
      </c>
      <c r="E238" s="292" t="str">
        <f ca="1">IF(ISERROR($S238),"",OFFSET('Smelter Reference List'!$D$4,$S238-4,0)&amp;"")</f>
        <v>JAPAN</v>
      </c>
      <c r="F238" s="292" t="str">
        <f ca="1">IF(ISERROR($S238),"",OFFSET('Smelter Reference List'!$E$4,$S238-4,0))</f>
        <v>CID002549</v>
      </c>
      <c r="G238" s="292" t="str">
        <f ca="1">IF(C238=$U$4,"Enter smelter details", IF(ISERROR($S238),"",OFFSET('Smelter Reference List'!$F$4,$S238-4,0)))</f>
        <v>CFSI</v>
      </c>
      <c r="H238" s="293">
        <f ca="1">IF(ISERROR($S238),"",OFFSET('Smelter Reference List'!$G$4,$S238-4,0))</f>
        <v>0</v>
      </c>
      <c r="I238" s="294" t="str">
        <f ca="1">IF(ISERROR($S238),"",OFFSET('Smelter Reference List'!$H$4,$S238-4,0))</f>
        <v>Mito</v>
      </c>
      <c r="J238" s="294" t="str">
        <f ca="1">IF(ISERROR($S238),"",OFFSET('Smelter Reference List'!$I$4,$S238-4,0))</f>
        <v>Ibaraki</v>
      </c>
      <c r="K238" s="295"/>
      <c r="L238" s="295"/>
      <c r="M238" s="295"/>
      <c r="N238" s="295"/>
      <c r="O238" s="295"/>
      <c r="P238" s="295"/>
      <c r="Q238" s="296"/>
      <c r="R238" s="227"/>
      <c r="S238" s="228">
        <f ca="1">IF(C238="",NA(),MATCH($B238&amp;$C238,'Smelter Reference List'!$J:$J,0))</f>
        <v>264</v>
      </c>
      <c r="T238" s="229"/>
      <c r="U238" s="229">
        <f t="shared" ca="1" si="8"/>
        <v>0</v>
      </c>
      <c r="V238" s="229"/>
      <c r="W238" s="229"/>
      <c r="Y238" s="223" t="str">
        <f t="shared" ca="1" si="9"/>
        <v>TantalumH.C. Starck Ltd.</v>
      </c>
    </row>
    <row r="239" spans="1:25" s="223" customFormat="1" ht="20.25">
      <c r="A239" s="291" t="s">
        <v>2698</v>
      </c>
      <c r="B239" s="292" t="str">
        <f ca="1">IF(LEN(A239)=0,"",INDEX('Smelter Reference List'!$A:$A,MATCH($A239,'Smelter Reference List'!$E:$E,0)))</f>
        <v>Tantalum</v>
      </c>
      <c r="C239" s="298" t="str">
        <f ca="1">IF(LEN(A239)=0,"",INDEX('Smelter Reference List'!$C:$C,MATCH($A239,'Smelter Reference List'!$E:$E,0)))</f>
        <v>H.C. Starck Smelting GmbH &amp; Co. KG</v>
      </c>
      <c r="D239" s="292" t="str">
        <f ca="1">IF(ISERROR($S239),"",OFFSET('Smelter Reference List'!$C$4,$S239-4,0)&amp;"")</f>
        <v>H.C. Starck Smelting GmbH &amp; Co. KG</v>
      </c>
      <c r="E239" s="292" t="str">
        <f ca="1">IF(ISERROR($S239),"",OFFSET('Smelter Reference List'!$D$4,$S239-4,0)&amp;"")</f>
        <v>GERMANY</v>
      </c>
      <c r="F239" s="292" t="str">
        <f ca="1">IF(ISERROR($S239),"",OFFSET('Smelter Reference List'!$E$4,$S239-4,0))</f>
        <v>CID002550</v>
      </c>
      <c r="G239" s="292" t="str">
        <f ca="1">IF(C239=$U$4,"Enter smelter details", IF(ISERROR($S239),"",OFFSET('Smelter Reference List'!$F$4,$S239-4,0)))</f>
        <v>CFSI</v>
      </c>
      <c r="H239" s="293">
        <f ca="1">IF(ISERROR($S239),"",OFFSET('Smelter Reference List'!$G$4,$S239-4,0))</f>
        <v>0</v>
      </c>
      <c r="I239" s="294" t="str">
        <f ca="1">IF(ISERROR($S239),"",OFFSET('Smelter Reference List'!$H$4,$S239-4,0))</f>
        <v>Laufenburg</v>
      </c>
      <c r="J239" s="294" t="str">
        <f ca="1">IF(ISERROR($S239),"",OFFSET('Smelter Reference List'!$I$4,$S239-4,0))</f>
        <v>Baden-Württemberg</v>
      </c>
      <c r="K239" s="295"/>
      <c r="L239" s="295"/>
      <c r="M239" s="295"/>
      <c r="N239" s="295"/>
      <c r="O239" s="295"/>
      <c r="P239" s="295"/>
      <c r="Q239" s="296"/>
      <c r="R239" s="227"/>
      <c r="S239" s="228">
        <f ca="1">IF(C239="",NA(),MATCH($B239&amp;$C239,'Smelter Reference List'!$J:$J,0))</f>
        <v>265</v>
      </c>
      <c r="T239" s="229"/>
      <c r="U239" s="229">
        <f t="shared" ca="1" si="8"/>
        <v>0</v>
      </c>
      <c r="V239" s="229"/>
      <c r="W239" s="229"/>
      <c r="Y239" s="223" t="str">
        <f t="shared" ca="1" si="9"/>
        <v>TantalumH.C. Starck Smelting GmbH &amp; Co. KG</v>
      </c>
    </row>
    <row r="240" spans="1:25" s="223" customFormat="1" ht="20.25">
      <c r="A240" s="291" t="s">
        <v>2710</v>
      </c>
      <c r="B240" s="292" t="str">
        <f ca="1">IF(LEN(A240)=0,"",INDEX('Smelter Reference List'!$A:$A,MATCH($A240,'Smelter Reference List'!$E:$E,0)))</f>
        <v>Tungsten</v>
      </c>
      <c r="C240" s="298" t="str">
        <f ca="1">IF(LEN(A240)=0,"",INDEX('Smelter Reference List'!$C:$C,MATCH($A240,'Smelter Reference List'!$E:$E,0)))</f>
        <v>Jiangwu H.C. Starck Tungsten Products Co., Ltd.</v>
      </c>
      <c r="D240" s="292" t="str">
        <f ca="1">IF(ISERROR($S240),"",OFFSET('Smelter Reference List'!$C$4,$S240-4,0)&amp;"")</f>
        <v>Jiangwu H.C. Starck Tungsten Products Co., Ltd.</v>
      </c>
      <c r="E240" s="292" t="str">
        <f ca="1">IF(ISERROR($S240),"",OFFSET('Smelter Reference List'!$D$4,$S240-4,0)&amp;"")</f>
        <v>CHINA</v>
      </c>
      <c r="F240" s="292" t="str">
        <f ca="1">IF(ISERROR($S240),"",OFFSET('Smelter Reference List'!$E$4,$S240-4,0))</f>
        <v>CID002551</v>
      </c>
      <c r="G240" s="292" t="str">
        <f ca="1">IF(C240=$U$4,"Enter smelter details", IF(ISERROR($S240),"",OFFSET('Smelter Reference List'!$F$4,$S240-4,0)))</f>
        <v>CFSI</v>
      </c>
      <c r="H240" s="293">
        <f ca="1">IF(ISERROR($S240),"",OFFSET('Smelter Reference List'!$G$4,$S240-4,0))</f>
        <v>0</v>
      </c>
      <c r="I240" s="294" t="str">
        <f ca="1">IF(ISERROR($S240),"",OFFSET('Smelter Reference List'!$H$4,$S240-4,0))</f>
        <v>Ganzhou</v>
      </c>
      <c r="J240" s="294" t="str">
        <f ca="1">IF(ISERROR($S240),"",OFFSET('Smelter Reference List'!$I$4,$S240-4,0))</f>
        <v>Jiangxi</v>
      </c>
      <c r="K240" s="295"/>
      <c r="L240" s="295"/>
      <c r="M240" s="295"/>
      <c r="N240" s="295"/>
      <c r="O240" s="295"/>
      <c r="P240" s="295"/>
      <c r="Q240" s="296"/>
      <c r="R240" s="227"/>
      <c r="S240" s="228">
        <f ca="1">IF(C240="",NA(),MATCH($B240&amp;$C240,'Smelter Reference List'!$J:$J,0))</f>
        <v>497</v>
      </c>
      <c r="T240" s="229"/>
      <c r="U240" s="229">
        <f t="shared" ca="1" si="8"/>
        <v>0</v>
      </c>
      <c r="V240" s="229"/>
      <c r="W240" s="229"/>
      <c r="Y240" s="223" t="str">
        <f t="shared" ca="1" si="9"/>
        <v>TungstenJiangwu H.C. Starck Tungsten Products Co., Ltd.</v>
      </c>
    </row>
    <row r="241" spans="1:25" s="223" customFormat="1" ht="20.25">
      <c r="A241" s="291" t="s">
        <v>2704</v>
      </c>
      <c r="B241" s="292" t="str">
        <f ca="1">IF(LEN(A241)=0,"",INDEX('Smelter Reference List'!$A:$A,MATCH($A241,'Smelter Reference List'!$E:$E,0)))</f>
        <v>Tantalum</v>
      </c>
      <c r="C241" s="298" t="str">
        <f ca="1">IF(LEN(A241)=0,"",INDEX('Smelter Reference List'!$C:$C,MATCH($A241,'Smelter Reference List'!$E:$E,0)))</f>
        <v>Plansee SE Reutte</v>
      </c>
      <c r="D241" s="292" t="str">
        <f ca="1">IF(ISERROR($S241),"",OFFSET('Smelter Reference List'!$C$4,$S241-4,0)&amp;"")</f>
        <v>Plansee SE Reutte</v>
      </c>
      <c r="E241" s="292" t="str">
        <f ca="1">IF(ISERROR($S241),"",OFFSET('Smelter Reference List'!$D$4,$S241-4,0)&amp;"")</f>
        <v>AUSTRIA</v>
      </c>
      <c r="F241" s="292" t="str">
        <f ca="1">IF(ISERROR($S241),"",OFFSET('Smelter Reference List'!$E$4,$S241-4,0))</f>
        <v>CID002556</v>
      </c>
      <c r="G241" s="292" t="str">
        <f ca="1">IF(C241=$U$4,"Enter smelter details", IF(ISERROR($S241),"",OFFSET('Smelter Reference List'!$F$4,$S241-4,0)))</f>
        <v>CFSI</v>
      </c>
      <c r="H241" s="293">
        <f ca="1">IF(ISERROR($S241),"",OFFSET('Smelter Reference List'!$G$4,$S241-4,0))</f>
        <v>0</v>
      </c>
      <c r="I241" s="294" t="str">
        <f ca="1">IF(ISERROR($S241),"",OFFSET('Smelter Reference List'!$H$4,$S241-4,0))</f>
        <v>Reutte</v>
      </c>
      <c r="J241" s="294" t="str">
        <f ca="1">IF(ISERROR($S241),"",OFFSET('Smelter Reference List'!$I$4,$S241-4,0))</f>
        <v>Tyrol</v>
      </c>
      <c r="K241" s="295"/>
      <c r="L241" s="295"/>
      <c r="M241" s="295"/>
      <c r="N241" s="295"/>
      <c r="O241" s="295"/>
      <c r="P241" s="295"/>
      <c r="Q241" s="296"/>
      <c r="R241" s="227"/>
      <c r="S241" s="228">
        <f ca="1">IF(C241="",NA(),MATCH($B241&amp;$C241,'Smelter Reference List'!$J:$J,0))</f>
        <v>286</v>
      </c>
      <c r="T241" s="229"/>
      <c r="U241" s="229">
        <f t="shared" ca="1" si="8"/>
        <v>0</v>
      </c>
      <c r="V241" s="229"/>
      <c r="W241" s="229"/>
      <c r="Y241" s="223" t="str">
        <f t="shared" ca="1" si="9"/>
        <v>TantalumPlansee SE Reutte</v>
      </c>
    </row>
    <row r="242" spans="1:25" s="223" customFormat="1" ht="20.25">
      <c r="A242" s="291" t="s">
        <v>2684</v>
      </c>
      <c r="B242" s="292" t="str">
        <f ca="1">IF(LEN(A242)=0,"",INDEX('Smelter Reference List'!$A:$A,MATCH($A242,'Smelter Reference List'!$E:$E,0)))</f>
        <v>Tantalum</v>
      </c>
      <c r="C242" s="298" t="str">
        <f ca="1">IF(LEN(A242)=0,"",INDEX('Smelter Reference List'!$C:$C,MATCH($A242,'Smelter Reference List'!$E:$E,0)))</f>
        <v>Global Advanced Metals Boyertown</v>
      </c>
      <c r="D242" s="292" t="str">
        <f ca="1">IF(ISERROR($S242),"",OFFSET('Smelter Reference List'!$C$4,$S242-4,0)&amp;"")</f>
        <v>Global Advanced Metals Boyertown</v>
      </c>
      <c r="E242" s="292" t="str">
        <f ca="1">IF(ISERROR($S242),"",OFFSET('Smelter Reference List'!$D$4,$S242-4,0)&amp;"")</f>
        <v>UNITED STATES OF AMERICA</v>
      </c>
      <c r="F242" s="292" t="str">
        <f ca="1">IF(ISERROR($S242),"",OFFSET('Smelter Reference List'!$E$4,$S242-4,0))</f>
        <v>CID002557</v>
      </c>
      <c r="G242" s="292" t="str">
        <f ca="1">IF(C242=$U$4,"Enter smelter details", IF(ISERROR($S242),"",OFFSET('Smelter Reference List'!$F$4,$S242-4,0)))</f>
        <v>CFSI</v>
      </c>
      <c r="H242" s="293">
        <f ca="1">IF(ISERROR($S242),"",OFFSET('Smelter Reference List'!$G$4,$S242-4,0))</f>
        <v>0</v>
      </c>
      <c r="I242" s="294" t="str">
        <f ca="1">IF(ISERROR($S242),"",OFFSET('Smelter Reference List'!$H$4,$S242-4,0))</f>
        <v>Boyertown</v>
      </c>
      <c r="J242" s="294" t="str">
        <f ca="1">IF(ISERROR($S242),"",OFFSET('Smelter Reference List'!$I$4,$S242-4,0))</f>
        <v>Pennsylvania</v>
      </c>
      <c r="K242" s="295"/>
      <c r="L242" s="295"/>
      <c r="M242" s="295"/>
      <c r="N242" s="295"/>
      <c r="O242" s="295"/>
      <c r="P242" s="295"/>
      <c r="Q242" s="296"/>
      <c r="R242" s="227"/>
      <c r="S242" s="228">
        <f ca="1">IF(C242="",NA(),MATCH($B242&amp;$C242,'Smelter Reference List'!$J:$J,0))</f>
        <v>257</v>
      </c>
      <c r="T242" s="229"/>
      <c r="U242" s="229">
        <f t="shared" ca="1" si="8"/>
        <v>0</v>
      </c>
      <c r="V242" s="229"/>
      <c r="W242" s="229"/>
      <c r="Y242" s="223" t="str">
        <f t="shared" ca="1" si="9"/>
        <v>TantalumGlobal Advanced Metals Boyertown</v>
      </c>
    </row>
    <row r="243" spans="1:25" s="223" customFormat="1" ht="20.25">
      <c r="A243" s="291" t="s">
        <v>2682</v>
      </c>
      <c r="B243" s="292" t="str">
        <f ca="1">IF(LEN(A243)=0,"",INDEX('Smelter Reference List'!$A:$A,MATCH($A243,'Smelter Reference List'!$E:$E,0)))</f>
        <v>Tantalum</v>
      </c>
      <c r="C243" s="298" t="str">
        <f ca="1">IF(LEN(A243)=0,"",INDEX('Smelter Reference List'!$C:$C,MATCH($A243,'Smelter Reference List'!$E:$E,0)))</f>
        <v>Global Advanced Metals Aizu</v>
      </c>
      <c r="D243" s="292" t="str">
        <f ca="1">IF(ISERROR($S243),"",OFFSET('Smelter Reference List'!$C$4,$S243-4,0)&amp;"")</f>
        <v>Global Advanced Metals Aizu</v>
      </c>
      <c r="E243" s="292" t="str">
        <f ca="1">IF(ISERROR($S243),"",OFFSET('Smelter Reference List'!$D$4,$S243-4,0)&amp;"")</f>
        <v>JAPAN</v>
      </c>
      <c r="F243" s="292" t="str">
        <f ca="1">IF(ISERROR($S243),"",OFFSET('Smelter Reference List'!$E$4,$S243-4,0))</f>
        <v>CID002558</v>
      </c>
      <c r="G243" s="292" t="str">
        <f ca="1">IF(C243=$U$4,"Enter smelter details", IF(ISERROR($S243),"",OFFSET('Smelter Reference List'!$F$4,$S243-4,0)))</f>
        <v>CFSI</v>
      </c>
      <c r="H243" s="293">
        <f ca="1">IF(ISERROR($S243),"",OFFSET('Smelter Reference List'!$G$4,$S243-4,0))</f>
        <v>0</v>
      </c>
      <c r="I243" s="294" t="str">
        <f ca="1">IF(ISERROR($S243),"",OFFSET('Smelter Reference List'!$H$4,$S243-4,0))</f>
        <v>Aizuwakamatsu</v>
      </c>
      <c r="J243" s="294" t="str">
        <f ca="1">IF(ISERROR($S243),"",OFFSET('Smelter Reference List'!$I$4,$S243-4,0))</f>
        <v>Fukushima</v>
      </c>
      <c r="K243" s="295"/>
      <c r="L243" s="295"/>
      <c r="M243" s="295"/>
      <c r="N243" s="295"/>
      <c r="O243" s="295"/>
      <c r="P243" s="295"/>
      <c r="Q243" s="296"/>
      <c r="R243" s="227"/>
      <c r="S243" s="228">
        <f ca="1">IF(C243="",NA(),MATCH($B243&amp;$C243,'Smelter Reference List'!$J:$J,0))</f>
        <v>256</v>
      </c>
      <c r="T243" s="229"/>
      <c r="U243" s="229">
        <f t="shared" ca="1" si="8"/>
        <v>0</v>
      </c>
      <c r="V243" s="229"/>
      <c r="W243" s="229"/>
      <c r="Y243" s="223" t="str">
        <f t="shared" ca="1" si="9"/>
        <v>TantalumGlobal Advanced Metals Aizu</v>
      </c>
    </row>
    <row r="244" spans="1:25" s="223" customFormat="1" ht="20.25">
      <c r="A244" s="291" t="s">
        <v>3290</v>
      </c>
      <c r="B244" s="292" t="str">
        <f ca="1">IF(LEN(A244)=0,"",INDEX('Smelter Reference List'!$A:$A,MATCH($A244,'Smelter Reference List'!$E:$E,0)))</f>
        <v>Gold</v>
      </c>
      <c r="C244" s="298" t="str">
        <f ca="1">IF(LEN(A244)=0,"",INDEX('Smelter Reference List'!$C:$C,MATCH($A244,'Smelter Reference List'!$E:$E,0)))</f>
        <v>Emirates Gold DMCC</v>
      </c>
      <c r="D244" s="292" t="str">
        <f ca="1">IF(ISERROR($S244),"",OFFSET('Smelter Reference List'!$C$4,$S244-4,0)&amp;"")</f>
        <v>Emirates Gold DMCC</v>
      </c>
      <c r="E244" s="292" t="str">
        <f ca="1">IF(ISERROR($S244),"",OFFSET('Smelter Reference List'!$D$4,$S244-4,0)&amp;"")</f>
        <v>UNITED ARAB EMIRATES</v>
      </c>
      <c r="F244" s="292" t="str">
        <f ca="1">IF(ISERROR($S244),"",OFFSET('Smelter Reference List'!$E$4,$S244-4,0))</f>
        <v>CID002561</v>
      </c>
      <c r="G244" s="292" t="str">
        <f ca="1">IF(C244=$U$4,"Enter smelter details", IF(ISERROR($S244),"",OFFSET('Smelter Reference List'!$F$4,$S244-4,0)))</f>
        <v>CFSI</v>
      </c>
      <c r="H244" s="293">
        <f ca="1">IF(ISERROR($S244),"",OFFSET('Smelter Reference List'!$G$4,$S244-4,0))</f>
        <v>0</v>
      </c>
      <c r="I244" s="294" t="str">
        <f ca="1">IF(ISERROR($S244),"",OFFSET('Smelter Reference List'!$H$4,$S244-4,0))</f>
        <v>Dubai</v>
      </c>
      <c r="J244" s="294" t="str">
        <f ca="1">IF(ISERROR($S244),"",OFFSET('Smelter Reference List'!$I$4,$S244-4,0))</f>
        <v>Dubai</v>
      </c>
      <c r="K244" s="295"/>
      <c r="L244" s="295"/>
      <c r="M244" s="295"/>
      <c r="N244" s="295"/>
      <c r="O244" s="295"/>
      <c r="P244" s="295"/>
      <c r="Q244" s="296"/>
      <c r="R244" s="227"/>
      <c r="S244" s="228">
        <f ca="1">IF(C244="",NA(),MATCH($B244&amp;$C244,'Smelter Reference List'!$J:$J,0))</f>
        <v>58</v>
      </c>
      <c r="T244" s="229"/>
      <c r="U244" s="229">
        <f t="shared" ca="1" si="8"/>
        <v>0</v>
      </c>
      <c r="V244" s="229"/>
      <c r="W244" s="229"/>
      <c r="Y244" s="223" t="str">
        <f t="shared" ca="1" si="9"/>
        <v>GoldEmirates Gold DMCC</v>
      </c>
    </row>
    <row r="245" spans="1:25" s="223" customFormat="1" ht="20.25">
      <c r="A245" s="291" t="s">
        <v>2716</v>
      </c>
      <c r="B245" s="292" t="str">
        <f ca="1">IF(LEN(A245)=0,"",INDEX('Smelter Reference List'!$A:$A,MATCH($A245,'Smelter Reference List'!$E:$E,0)))</f>
        <v>Tantalum</v>
      </c>
      <c r="C245" s="298" t="str">
        <f ca="1">IF(LEN(A245)=0,"",INDEX('Smelter Reference List'!$C:$C,MATCH($A245,'Smelter Reference List'!$E:$E,0)))</f>
        <v>KEMET Blue Powder</v>
      </c>
      <c r="D245" s="292" t="str">
        <f ca="1">IF(ISERROR($S245),"",OFFSET('Smelter Reference List'!$C$4,$S245-4,0)&amp;"")</f>
        <v>KEMET Blue Powder</v>
      </c>
      <c r="E245" s="292" t="str">
        <f ca="1">IF(ISERROR($S245),"",OFFSET('Smelter Reference List'!$D$4,$S245-4,0)&amp;"")</f>
        <v>UNITED STATES OF AMERICA</v>
      </c>
      <c r="F245" s="292" t="str">
        <f ca="1">IF(ISERROR($S245),"",OFFSET('Smelter Reference List'!$E$4,$S245-4,0))</f>
        <v>CID002568</v>
      </c>
      <c r="G245" s="292" t="str">
        <f ca="1">IF(C245=$U$4,"Enter smelter details", IF(ISERROR($S245),"",OFFSET('Smelter Reference List'!$F$4,$S245-4,0)))</f>
        <v>CFSI</v>
      </c>
      <c r="H245" s="293">
        <f ca="1">IF(ISERROR($S245),"",OFFSET('Smelter Reference List'!$G$4,$S245-4,0))</f>
        <v>0</v>
      </c>
      <c r="I245" s="294" t="str">
        <f ca="1">IF(ISERROR($S245),"",OFFSET('Smelter Reference List'!$H$4,$S245-4,0))</f>
        <v>Mound House</v>
      </c>
      <c r="J245" s="294" t="str">
        <f ca="1">IF(ISERROR($S245),"",OFFSET('Smelter Reference List'!$I$4,$S245-4,0))</f>
        <v>Nevada</v>
      </c>
      <c r="K245" s="295"/>
      <c r="L245" s="295"/>
      <c r="M245" s="295"/>
      <c r="N245" s="295"/>
      <c r="O245" s="295"/>
      <c r="P245" s="295"/>
      <c r="Q245" s="296"/>
      <c r="R245" s="227"/>
      <c r="S245" s="228">
        <f ca="1">IF(C245="",NA(),MATCH($B245&amp;$C245,'Smelter Reference List'!$J:$J,0))</f>
        <v>275</v>
      </c>
      <c r="T245" s="229"/>
      <c r="U245" s="229">
        <f t="shared" ca="1" si="8"/>
        <v>0</v>
      </c>
      <c r="V245" s="229"/>
      <c r="W245" s="229"/>
      <c r="Y245" s="223" t="str">
        <f t="shared" ca="1" si="9"/>
        <v>TantalumKEMET Blue Powder</v>
      </c>
    </row>
    <row r="246" spans="1:25" s="223" customFormat="1" ht="20.25">
      <c r="A246" s="291" t="s">
        <v>3452</v>
      </c>
      <c r="B246" s="292" t="str">
        <f ca="1">IF(LEN(A246)=0,"",INDEX('Smelter Reference List'!$A:$A,MATCH($A246,'Smelter Reference List'!$E:$E,0)))</f>
        <v>Tin</v>
      </c>
      <c r="C246" s="298" t="str">
        <f ca="1">IF(LEN(A246)=0,"",INDEX('Smelter Reference List'!$C:$C,MATCH($A246,'Smelter Reference List'!$E:$E,0)))</f>
        <v>CV Ayi Jaya</v>
      </c>
      <c r="D246" s="292" t="str">
        <f ca="1">IF(ISERROR($S246),"",OFFSET('Smelter Reference List'!$C$4,$S246-4,0)&amp;"")</f>
        <v>CV Ayi Jaya</v>
      </c>
      <c r="E246" s="292" t="str">
        <f ca="1">IF(ISERROR($S246),"",OFFSET('Smelter Reference List'!$D$4,$S246-4,0)&amp;"")</f>
        <v>INDONESIA</v>
      </c>
      <c r="F246" s="292" t="str">
        <f ca="1">IF(ISERROR($S246),"",OFFSET('Smelter Reference List'!$E$4,$S246-4,0))</f>
        <v>CID002570</v>
      </c>
      <c r="G246" s="292" t="str">
        <f ca="1">IF(C246=$U$4,"Enter smelter details", IF(ISERROR($S246),"",OFFSET('Smelter Reference List'!$F$4,$S246-4,0)))</f>
        <v>CFSI</v>
      </c>
      <c r="H246" s="293">
        <f ca="1">IF(ISERROR($S246),"",OFFSET('Smelter Reference List'!$G$4,$S246-4,0))</f>
        <v>0</v>
      </c>
      <c r="I246" s="294" t="str">
        <f ca="1">IF(ISERROR($S246),"",OFFSET('Smelter Reference List'!$H$4,$S246-4,0))</f>
        <v>Sungailiat</v>
      </c>
      <c r="J246" s="294" t="str">
        <f ca="1">IF(ISERROR($S246),"",OFFSET('Smelter Reference List'!$I$4,$S246-4,0))</f>
        <v>Bangka</v>
      </c>
      <c r="K246" s="295"/>
      <c r="L246" s="295"/>
      <c r="M246" s="295"/>
      <c r="N246" s="295"/>
      <c r="O246" s="295"/>
      <c r="P246" s="295"/>
      <c r="Q246" s="296"/>
      <c r="R246" s="227"/>
      <c r="S246" s="228">
        <f ca="1">IF(C246="",NA(),MATCH($B246&amp;$C246,'Smelter Reference List'!$J:$J,0))</f>
        <v>334</v>
      </c>
      <c r="T246" s="229"/>
      <c r="U246" s="229">
        <f t="shared" ca="1" si="8"/>
        <v>0</v>
      </c>
      <c r="V246" s="229"/>
      <c r="W246" s="229"/>
      <c r="Y246" s="223" t="str">
        <f t="shared" ca="1" si="9"/>
        <v>TinCV Ayi Jaya</v>
      </c>
    </row>
    <row r="247" spans="1:25" s="223" customFormat="1" ht="20.25">
      <c r="A247" s="291" t="s">
        <v>3364</v>
      </c>
      <c r="B247" s="292" t="str">
        <f ca="1">IF(LEN(A247)=0,"",INDEX('Smelter Reference List'!$A:$A,MATCH($A247,'Smelter Reference List'!$E:$E,0)))</f>
        <v>Tantalum</v>
      </c>
      <c r="C247" s="298" t="str">
        <f ca="1">IF(LEN(A247)=0,"",INDEX('Smelter Reference List'!$C:$C,MATCH($A247,'Smelter Reference List'!$E:$E,0)))</f>
        <v>Tranzact, Inc.</v>
      </c>
      <c r="D247" s="292" t="str">
        <f ca="1">IF(ISERROR($S247),"",OFFSET('Smelter Reference List'!$C$4,$S247-4,0)&amp;"")</f>
        <v>Tranzact, Inc.</v>
      </c>
      <c r="E247" s="292" t="str">
        <f ca="1">IF(ISERROR($S247),"",OFFSET('Smelter Reference List'!$D$4,$S247-4,0)&amp;"")</f>
        <v>UNITED STATES OF AMERICA</v>
      </c>
      <c r="F247" s="292" t="str">
        <f ca="1">IF(ISERROR($S247),"",OFFSET('Smelter Reference List'!$E$4,$S247-4,0))</f>
        <v>CID002571</v>
      </c>
      <c r="G247" s="292" t="str">
        <f ca="1">IF(C247=$U$4,"Enter smelter details", IF(ISERROR($S247),"",OFFSET('Smelter Reference List'!$F$4,$S247-4,0)))</f>
        <v>CFSI</v>
      </c>
      <c r="H247" s="293">
        <f ca="1">IF(ISERROR($S247),"",OFFSET('Smelter Reference List'!$G$4,$S247-4,0))</f>
        <v>0</v>
      </c>
      <c r="I247" s="294" t="str">
        <f ca="1">IF(ISERROR($S247),"",OFFSET('Smelter Reference List'!$H$4,$S247-4,0))</f>
        <v>Lancaster</v>
      </c>
      <c r="J247" s="294" t="str">
        <f ca="1">IF(ISERROR($S247),"",OFFSET('Smelter Reference List'!$I$4,$S247-4,0))</f>
        <v>Pennsylvania</v>
      </c>
      <c r="K247" s="295"/>
      <c r="L247" s="295"/>
      <c r="M247" s="295"/>
      <c r="N247" s="295"/>
      <c r="O247" s="295"/>
      <c r="P247" s="295"/>
      <c r="Q247" s="296"/>
      <c r="R247" s="227"/>
      <c r="S247" s="228">
        <f ca="1">IF(C247="",NA(),MATCH($B247&amp;$C247,'Smelter Reference List'!$J:$J,0))</f>
        <v>299</v>
      </c>
      <c r="T247" s="229"/>
      <c r="U247" s="229">
        <f t="shared" ca="1" si="8"/>
        <v>0</v>
      </c>
      <c r="V247" s="229"/>
      <c r="W247" s="229"/>
      <c r="Y247" s="223" t="str">
        <f t="shared" ca="1" si="9"/>
        <v>TantalumTranzact, Inc.</v>
      </c>
    </row>
    <row r="248" spans="1:25" s="223" customFormat="1" ht="20.25">
      <c r="A248" s="291" t="s">
        <v>3505</v>
      </c>
      <c r="B248" s="292" t="str">
        <f ca="1">IF(LEN(A248)=0,"",INDEX('Smelter Reference List'!$A:$A,MATCH($A248,'Smelter Reference List'!$E:$E,0)))</f>
        <v>Tungsten</v>
      </c>
      <c r="C248" s="298" t="str">
        <f ca="1">IF(LEN(A248)=0,"",INDEX('Smelter Reference List'!$C:$C,MATCH($A248,'Smelter Reference List'!$E:$E,0)))</f>
        <v>Hunan Chuangda Vanadium Tungsten Co., Ltd. Wuji</v>
      </c>
      <c r="D248" s="292" t="str">
        <f ca="1">IF(ISERROR($S248),"",OFFSET('Smelter Reference List'!$C$4,$S248-4,0)&amp;"")</f>
        <v>Hunan Chuangda Vanadium Tungsten Co., Ltd. Wuji</v>
      </c>
      <c r="E248" s="292" t="str">
        <f ca="1">IF(ISERROR($S248),"",OFFSET('Smelter Reference List'!$D$4,$S248-4,0)&amp;"")</f>
        <v>CHINA</v>
      </c>
      <c r="F248" s="292" t="str">
        <f ca="1">IF(ISERROR($S248),"",OFFSET('Smelter Reference List'!$E$4,$S248-4,0))</f>
        <v>CID002579</v>
      </c>
      <c r="G248" s="292" t="str">
        <f ca="1">IF(C248=$U$4,"Enter smelter details", IF(ISERROR($S248),"",OFFSET('Smelter Reference List'!$F$4,$S248-4,0)))</f>
        <v>CFSI</v>
      </c>
      <c r="H248" s="293">
        <f ca="1">IF(ISERROR($S248),"",OFFSET('Smelter Reference List'!$G$4,$S248-4,0))</f>
        <v>0</v>
      </c>
      <c r="I248" s="294" t="str">
        <f ca="1">IF(ISERROR($S248),"",OFFSET('Smelter Reference List'!$H$4,$S248-4,0))</f>
        <v>Hengyang</v>
      </c>
      <c r="J248" s="294" t="str">
        <f ca="1">IF(ISERROR($S248),"",OFFSET('Smelter Reference List'!$I$4,$S248-4,0))</f>
        <v>Hunan</v>
      </c>
      <c r="K248" s="295"/>
      <c r="L248" s="295"/>
      <c r="M248" s="295"/>
      <c r="N248" s="295"/>
      <c r="O248" s="295"/>
      <c r="P248" s="295"/>
      <c r="Q248" s="296"/>
      <c r="R248" s="227"/>
      <c r="S248" s="228">
        <f ca="1">IF(C248="",NA(),MATCH($B248&amp;$C248,'Smelter Reference List'!$J:$J,0))</f>
        <v>493</v>
      </c>
      <c r="T248" s="229"/>
      <c r="U248" s="229">
        <f t="shared" ca="1" si="8"/>
        <v>0</v>
      </c>
      <c r="V248" s="229"/>
      <c r="W248" s="229"/>
      <c r="Y248" s="223" t="str">
        <f t="shared" ca="1" si="9"/>
        <v>TungstenHunan Chuangda Vanadium Tungsten Co., Ltd. Wuji</v>
      </c>
    </row>
    <row r="249" spans="1:25" s="223" customFormat="1" ht="20.25">
      <c r="A249" s="291" t="s">
        <v>3297</v>
      </c>
      <c r="B249" s="292" t="str">
        <f ca="1">IF(LEN(A249)=0,"",INDEX('Smelter Reference List'!$A:$A,MATCH($A249,'Smelter Reference List'!$E:$E,0)))</f>
        <v>Gold</v>
      </c>
      <c r="C249" s="298" t="str">
        <f ca="1">IF(LEN(A249)=0,"",INDEX('Smelter Reference List'!$C:$C,MATCH($A249,'Smelter Reference List'!$E:$E,0)))</f>
        <v>T.C.A S.p.A</v>
      </c>
      <c r="D249" s="292" t="str">
        <f ca="1">IF(ISERROR($S249),"",OFFSET('Smelter Reference List'!$C$4,$S249-4,0)&amp;"")</f>
        <v>T.C.A S.p.A</v>
      </c>
      <c r="E249" s="292" t="str">
        <f ca="1">IF(ISERROR($S249),"",OFFSET('Smelter Reference List'!$D$4,$S249-4,0)&amp;"")</f>
        <v>ITALY</v>
      </c>
      <c r="F249" s="292" t="str">
        <f ca="1">IF(ISERROR($S249),"",OFFSET('Smelter Reference List'!$E$4,$S249-4,0))</f>
        <v>CID002580</v>
      </c>
      <c r="G249" s="292" t="str">
        <f ca="1">IF(C249=$U$4,"Enter smelter details", IF(ISERROR($S249),"",OFFSET('Smelter Reference List'!$F$4,$S249-4,0)))</f>
        <v>CFSI</v>
      </c>
      <c r="H249" s="293">
        <f ca="1">IF(ISERROR($S249),"",OFFSET('Smelter Reference List'!$G$4,$S249-4,0))</f>
        <v>0</v>
      </c>
      <c r="I249" s="294" t="str">
        <f ca="1">IF(ISERROR($S249),"",OFFSET('Smelter Reference List'!$H$4,$S249-4,0))</f>
        <v>Capolona</v>
      </c>
      <c r="J249" s="294" t="str">
        <f ca="1">IF(ISERROR($S249),"",OFFSET('Smelter Reference List'!$I$4,$S249-4,0))</f>
        <v>Tuscany</v>
      </c>
      <c r="K249" s="295"/>
      <c r="L249" s="295"/>
      <c r="M249" s="295"/>
      <c r="N249" s="295"/>
      <c r="O249" s="295"/>
      <c r="P249" s="295"/>
      <c r="Q249" s="296"/>
      <c r="R249" s="227"/>
      <c r="S249" s="228">
        <f ca="1">IF(C249="",NA(),MATCH($B249&amp;$C249,'Smelter Reference List'!$J:$J,0))</f>
        <v>196</v>
      </c>
      <c r="T249" s="229"/>
      <c r="U249" s="229">
        <f t="shared" ca="1" si="8"/>
        <v>0</v>
      </c>
      <c r="V249" s="229"/>
      <c r="W249" s="229"/>
      <c r="Y249" s="223" t="str">
        <f t="shared" ca="1" si="9"/>
        <v>GoldT.C.A S.p.A</v>
      </c>
    </row>
    <row r="250" spans="1:25" s="223" customFormat="1" ht="20.25">
      <c r="A250" s="291" t="s">
        <v>3507</v>
      </c>
      <c r="B250" s="292" t="str">
        <f ca="1">IF(LEN(A250)=0,"",INDEX('Smelter Reference List'!$A:$A,MATCH($A250,'Smelter Reference List'!$E:$E,0)))</f>
        <v>Tungsten</v>
      </c>
      <c r="C250" s="298" t="str">
        <f ca="1">IF(LEN(A250)=0,"",INDEX('Smelter Reference List'!$C:$C,MATCH($A250,'Smelter Reference List'!$E:$E,0)))</f>
        <v>Niagara Refining LLC</v>
      </c>
      <c r="D250" s="292" t="str">
        <f ca="1">IF(ISERROR($S250),"",OFFSET('Smelter Reference List'!$C$4,$S250-4,0)&amp;"")</f>
        <v>Niagara Refining LLC</v>
      </c>
      <c r="E250" s="292" t="str">
        <f ca="1">IF(ISERROR($S250),"",OFFSET('Smelter Reference List'!$D$4,$S250-4,0)&amp;"")</f>
        <v>UNITED STATES OF AMERICA</v>
      </c>
      <c r="F250" s="292" t="str">
        <f ca="1">IF(ISERROR($S250),"",OFFSET('Smelter Reference List'!$E$4,$S250-4,0))</f>
        <v>CID002589</v>
      </c>
      <c r="G250" s="292" t="str">
        <f ca="1">IF(C250=$U$4,"Enter smelter details", IF(ISERROR($S250),"",OFFSET('Smelter Reference List'!$F$4,$S250-4,0)))</f>
        <v>CFSI</v>
      </c>
      <c r="H250" s="293">
        <f ca="1">IF(ISERROR($S250),"",OFFSET('Smelter Reference List'!$G$4,$S250-4,0))</f>
        <v>0</v>
      </c>
      <c r="I250" s="294" t="str">
        <f ca="1">IF(ISERROR($S250),"",OFFSET('Smelter Reference List'!$H$4,$S250-4,0))</f>
        <v>Depew</v>
      </c>
      <c r="J250" s="294" t="str">
        <f ca="1">IF(ISERROR($S250),"",OFFSET('Smelter Reference List'!$I$4,$S250-4,0))</f>
        <v>New York</v>
      </c>
      <c r="K250" s="295"/>
      <c r="L250" s="295"/>
      <c r="M250" s="295"/>
      <c r="N250" s="295"/>
      <c r="O250" s="295"/>
      <c r="P250" s="295"/>
      <c r="Q250" s="296"/>
      <c r="R250" s="227"/>
      <c r="S250" s="228">
        <f ca="1">IF(C250="",NA(),MATCH($B250&amp;$C250,'Smelter Reference List'!$J:$J,0))</f>
        <v>511</v>
      </c>
      <c r="T250" s="229"/>
      <c r="U250" s="229">
        <f t="shared" ca="1" si="8"/>
        <v>0</v>
      </c>
      <c r="V250" s="229"/>
      <c r="W250" s="229"/>
      <c r="Y250" s="223" t="str">
        <f t="shared" ca="1" si="9"/>
        <v>TungstenNiagara Refining LLC</v>
      </c>
    </row>
    <row r="251" spans="1:25" s="223" customFormat="1" ht="20.25">
      <c r="A251" s="291" t="s">
        <v>3510</v>
      </c>
      <c r="B251" s="292" t="str">
        <f ca="1">IF(LEN(A251)=0,"",INDEX('Smelter Reference List'!$A:$A,MATCH($A251,'Smelter Reference List'!$E:$E,0)))</f>
        <v>Tungsten</v>
      </c>
      <c r="C251" s="298" t="str">
        <f ca="1">IF(LEN(A251)=0,"",INDEX('Smelter Reference List'!$C:$C,MATCH($A251,'Smelter Reference List'!$E:$E,0)))</f>
        <v>Hydrometallurg, JSC</v>
      </c>
      <c r="D251" s="292" t="str">
        <f ca="1">IF(ISERROR($S251),"",OFFSET('Smelter Reference List'!$C$4,$S251-4,0)&amp;"")</f>
        <v>Hydrometallurg, JSC</v>
      </c>
      <c r="E251" s="292" t="str">
        <f ca="1">IF(ISERROR($S251),"",OFFSET('Smelter Reference List'!$D$4,$S251-4,0)&amp;"")</f>
        <v>RUSSIAN FEDERATION</v>
      </c>
      <c r="F251" s="292" t="str">
        <f ca="1">IF(ISERROR($S251),"",OFFSET('Smelter Reference List'!$E$4,$S251-4,0))</f>
        <v>CID002649</v>
      </c>
      <c r="G251" s="292" t="str">
        <f ca="1">IF(C251=$U$4,"Enter smelter details", IF(ISERROR($S251),"",OFFSET('Smelter Reference List'!$F$4,$S251-4,0)))</f>
        <v>CFSI</v>
      </c>
      <c r="H251" s="293">
        <f ca="1">IF(ISERROR($S251),"",OFFSET('Smelter Reference List'!$G$4,$S251-4,0))</f>
        <v>0</v>
      </c>
      <c r="I251" s="294" t="str">
        <f ca="1">IF(ISERROR($S251),"",OFFSET('Smelter Reference List'!$H$4,$S251-4,0))</f>
        <v>Nalchik</v>
      </c>
      <c r="J251" s="294" t="str">
        <f ca="1">IF(ISERROR($S251),"",OFFSET('Smelter Reference List'!$I$4,$S251-4,0))</f>
        <v>Kabardino-Balkar Republic</v>
      </c>
      <c r="K251" s="295"/>
      <c r="L251" s="295"/>
      <c r="M251" s="295"/>
      <c r="N251" s="295"/>
      <c r="O251" s="295"/>
      <c r="P251" s="295"/>
      <c r="Q251" s="296"/>
      <c r="R251" s="227"/>
      <c r="S251" s="228">
        <f ca="1">IF(C251="",NA(),MATCH($B251&amp;$C251,'Smelter Reference List'!$J:$J,0))</f>
        <v>495</v>
      </c>
      <c r="T251" s="229"/>
      <c r="U251" s="229">
        <f t="shared" ca="1" si="8"/>
        <v>0</v>
      </c>
      <c r="V251" s="229"/>
      <c r="W251" s="229"/>
      <c r="Y251" s="223" t="str">
        <f t="shared" ca="1" si="9"/>
        <v>TungstenHydrometallurg, JSC</v>
      </c>
    </row>
    <row r="252" spans="1:25" s="223" customFormat="1" ht="20.25">
      <c r="A252" s="291" t="s">
        <v>3466</v>
      </c>
      <c r="B252" s="292" t="str">
        <f ca="1">IF(LEN(A252)=0,"",INDEX('Smelter Reference List'!$A:$A,MATCH($A252,'Smelter Reference List'!$E:$E,0)))</f>
        <v>Tin</v>
      </c>
      <c r="C252" s="298" t="str">
        <f ca="1">IF(LEN(A252)=0,"",INDEX('Smelter Reference List'!$C:$C,MATCH($A252,'Smelter Reference List'!$E:$E,0)))</f>
        <v>PT Cipta Persada Mulia</v>
      </c>
      <c r="D252" s="292" t="str">
        <f ca="1">IF(ISERROR($S252),"",OFFSET('Smelter Reference List'!$C$4,$S252-4,0)&amp;"")</f>
        <v>PT Cipta Persada Mulia</v>
      </c>
      <c r="E252" s="292" t="str">
        <f ca="1">IF(ISERROR($S252),"",OFFSET('Smelter Reference List'!$D$4,$S252-4,0)&amp;"")</f>
        <v>INDONESIA</v>
      </c>
      <c r="F252" s="292" t="str">
        <f ca="1">IF(ISERROR($S252),"",OFFSET('Smelter Reference List'!$E$4,$S252-4,0))</f>
        <v>CID002696</v>
      </c>
      <c r="G252" s="292" t="str">
        <f ca="1">IF(C252=$U$4,"Enter smelter details", IF(ISERROR($S252),"",OFFSET('Smelter Reference List'!$F$4,$S252-4,0)))</f>
        <v>CFSI</v>
      </c>
      <c r="H252" s="293">
        <f ca="1">IF(ISERROR($S252),"",OFFSET('Smelter Reference List'!$G$4,$S252-4,0))</f>
        <v>0</v>
      </c>
      <c r="I252" s="294" t="str">
        <f ca="1">IF(ISERROR($S252),"",OFFSET('Smelter Reference List'!$H$4,$S252-4,0))</f>
        <v>Pangkal Pinang</v>
      </c>
      <c r="J252" s="294" t="str">
        <f ca="1">IF(ISERROR($S252),"",OFFSET('Smelter Reference List'!$I$4,$S252-4,0))</f>
        <v>Bangka</v>
      </c>
      <c r="K252" s="295"/>
      <c r="L252" s="295"/>
      <c r="M252" s="295"/>
      <c r="N252" s="295"/>
      <c r="O252" s="295"/>
      <c r="P252" s="295"/>
      <c r="Q252" s="296"/>
      <c r="R252" s="227"/>
      <c r="S252" s="228">
        <f ca="1">IF(C252="",NA(),MATCH($B252&amp;$C252,'Smelter Reference List'!$J:$J,0))</f>
        <v>408</v>
      </c>
      <c r="T252" s="229"/>
      <c r="U252" s="229">
        <f t="shared" ca="1" si="8"/>
        <v>0</v>
      </c>
      <c r="V252" s="229"/>
      <c r="W252" s="229"/>
      <c r="Y252" s="223" t="str">
        <f t="shared" ca="1" si="9"/>
        <v>TinPT Cipta Persada Mulia</v>
      </c>
    </row>
    <row r="253" spans="1:25" s="223" customFormat="1" ht="20.25">
      <c r="A253" s="291" t="s">
        <v>3467</v>
      </c>
      <c r="B253" s="292" t="str">
        <f ca="1">IF(LEN(A253)=0,"",INDEX('Smelter Reference List'!$A:$A,MATCH($A253,'Smelter Reference List'!$E:$E,0)))</f>
        <v>Tin</v>
      </c>
      <c r="C253" s="298" t="str">
        <f ca="1">IF(LEN(A253)=0,"",INDEX('Smelter Reference List'!$C:$C,MATCH($A253,'Smelter Reference List'!$E:$E,0)))</f>
        <v>Resind Indústria e Comércio Ltda.</v>
      </c>
      <c r="D253" s="292" t="str">
        <f ca="1">IF(ISERROR($S253),"",OFFSET('Smelter Reference List'!$C$4,$S253-4,0)&amp;"")</f>
        <v>Resind Indústria e Comércio Ltda.</v>
      </c>
      <c r="E253" s="292" t="str">
        <f ca="1">IF(ISERROR($S253),"",OFFSET('Smelter Reference List'!$D$4,$S253-4,0)&amp;"")</f>
        <v>BRAZIL</v>
      </c>
      <c r="F253" s="292" t="str">
        <f ca="1">IF(ISERROR($S253),"",OFFSET('Smelter Reference List'!$E$4,$S253-4,0))</f>
        <v>CID002706</v>
      </c>
      <c r="G253" s="292" t="str">
        <f ca="1">IF(C253=$U$4,"Enter smelter details", IF(ISERROR($S253),"",OFFSET('Smelter Reference List'!$F$4,$S253-4,0)))</f>
        <v>CFSI</v>
      </c>
      <c r="H253" s="293">
        <f ca="1">IF(ISERROR($S253),"",OFFSET('Smelter Reference List'!$G$4,$S253-4,0))</f>
        <v>0</v>
      </c>
      <c r="I253" s="294" t="str">
        <f ca="1">IF(ISERROR($S253),"",OFFSET('Smelter Reference List'!$H$4,$S253-4,0))</f>
        <v>São João del Rei</v>
      </c>
      <c r="J253" s="294" t="str">
        <f ca="1">IF(ISERROR($S253),"",OFFSET('Smelter Reference List'!$I$4,$S253-4,0))</f>
        <v>Minas gerais</v>
      </c>
      <c r="K253" s="295"/>
      <c r="L253" s="295"/>
      <c r="M253" s="295"/>
      <c r="N253" s="295"/>
      <c r="O253" s="295"/>
      <c r="P253" s="295"/>
      <c r="Q253" s="296"/>
      <c r="R253" s="227"/>
      <c r="S253" s="228">
        <f ca="1">IF(C253="",NA(),MATCH($B253&amp;$C253,'Smelter Reference List'!$J:$J,0))</f>
        <v>435</v>
      </c>
      <c r="T253" s="229"/>
      <c r="U253" s="229">
        <f t="shared" ca="1" si="8"/>
        <v>0</v>
      </c>
      <c r="V253" s="229"/>
      <c r="W253" s="229"/>
      <c r="Y253" s="223" t="str">
        <f t="shared" ca="1" si="9"/>
        <v>TinResind Indústria e Comércio Ltda.</v>
      </c>
    </row>
    <row r="254" spans="1:25" s="223" customFormat="1" ht="20.25">
      <c r="A254" s="291" t="s">
        <v>3366</v>
      </c>
      <c r="B254" s="292" t="str">
        <f ca="1">IF(LEN(A254)=0,"",INDEX('Smelter Reference List'!$A:$A,MATCH($A254,'Smelter Reference List'!$E:$E,0)))</f>
        <v>Tantalum</v>
      </c>
      <c r="C254" s="298" t="str">
        <f ca="1">IF(LEN(A254)=0,"",INDEX('Smelter Reference List'!$C:$C,MATCH($A254,'Smelter Reference List'!$E:$E,0)))</f>
        <v>Resind Indústria e Comércio Ltda.</v>
      </c>
      <c r="D254" s="292" t="str">
        <f ca="1">IF(ISERROR($S254),"",OFFSET('Smelter Reference List'!$C$4,$S254-4,0)&amp;"")</f>
        <v>Resind Indústria e Comércio Ltda.</v>
      </c>
      <c r="E254" s="292" t="str">
        <f ca="1">IF(ISERROR($S254),"",OFFSET('Smelter Reference List'!$D$4,$S254-4,0)&amp;"")</f>
        <v>BRAZIL</v>
      </c>
      <c r="F254" s="292" t="str">
        <f ca="1">IF(ISERROR($S254),"",OFFSET('Smelter Reference List'!$E$4,$S254-4,0))</f>
        <v>CID002707</v>
      </c>
      <c r="G254" s="292" t="str">
        <f ca="1">IF(C254=$U$4,"Enter smelter details", IF(ISERROR($S254),"",OFFSET('Smelter Reference List'!$F$4,$S254-4,0)))</f>
        <v>CFSI</v>
      </c>
      <c r="H254" s="293">
        <f ca="1">IF(ISERROR($S254),"",OFFSET('Smelter Reference List'!$G$4,$S254-4,0))</f>
        <v>0</v>
      </c>
      <c r="I254" s="294" t="str">
        <f ca="1">IF(ISERROR($S254),"",OFFSET('Smelter Reference List'!$H$4,$S254-4,0))</f>
        <v>São João del Rei</v>
      </c>
      <c r="J254" s="294" t="str">
        <f ca="1">IF(ISERROR($S254),"",OFFSET('Smelter Reference List'!$I$4,$S254-4,0))</f>
        <v>Minas gerais</v>
      </c>
      <c r="K254" s="295"/>
      <c r="L254" s="295"/>
      <c r="M254" s="295"/>
      <c r="N254" s="295"/>
      <c r="O254" s="295"/>
      <c r="P254" s="295"/>
      <c r="Q254" s="296"/>
      <c r="R254" s="227"/>
      <c r="S254" s="228">
        <f ca="1">IF(C254="",NA(),MATCH($B254&amp;$C254,'Smelter Reference List'!$J:$J,0))</f>
        <v>289</v>
      </c>
      <c r="T254" s="229"/>
      <c r="U254" s="229">
        <f t="shared" ca="1" si="8"/>
        <v>0</v>
      </c>
      <c r="V254" s="229"/>
      <c r="W254" s="229"/>
      <c r="Y254" s="223" t="str">
        <f t="shared" ca="1" si="9"/>
        <v>TantalumResind Indústria e Comércio Ltda.</v>
      </c>
    </row>
    <row r="255" spans="1:25" s="223" customFormat="1" ht="20.25">
      <c r="A255" s="291" t="s">
        <v>3469</v>
      </c>
      <c r="B255" s="292" t="str">
        <f ca="1">IF(LEN(A255)=0,"",INDEX('Smelter Reference List'!$A:$A,MATCH($A255,'Smelter Reference List'!$E:$E,0)))</f>
        <v>Tin</v>
      </c>
      <c r="C255" s="298" t="str">
        <f ca="1">IF(LEN(A255)=0,"",INDEX('Smelter Reference List'!$C:$C,MATCH($A255,'Smelter Reference List'!$E:$E,0)))</f>
        <v>Metallo-Chimique N.V.</v>
      </c>
      <c r="D255" s="292" t="str">
        <f ca="1">IF(ISERROR($S255),"",OFFSET('Smelter Reference List'!$C$4,$S255-4,0)&amp;"")</f>
        <v>Metallo-Chimique N.V.</v>
      </c>
      <c r="E255" s="292" t="str">
        <f ca="1">IF(ISERROR($S255),"",OFFSET('Smelter Reference List'!$D$4,$S255-4,0)&amp;"")</f>
        <v>BELGIUM</v>
      </c>
      <c r="F255" s="292" t="str">
        <f ca="1">IF(ISERROR($S255),"",OFFSET('Smelter Reference List'!$E$4,$S255-4,0))</f>
        <v>CID002773</v>
      </c>
      <c r="G255" s="292" t="str">
        <f ca="1">IF(C255=$U$4,"Enter smelter details", IF(ISERROR($S255),"",OFFSET('Smelter Reference List'!$F$4,$S255-4,0)))</f>
        <v>CFSI</v>
      </c>
      <c r="H255" s="293">
        <f ca="1">IF(ISERROR($S255),"",OFFSET('Smelter Reference List'!$G$4,$S255-4,0))</f>
        <v>0</v>
      </c>
      <c r="I255" s="294" t="str">
        <f ca="1">IF(ISERROR($S255),"",OFFSET('Smelter Reference List'!$H$4,$S255-4,0))</f>
        <v>Beerse</v>
      </c>
      <c r="J255" s="294" t="str">
        <f ca="1">IF(ISERROR($S255),"",OFFSET('Smelter Reference List'!$I$4,$S255-4,0))</f>
        <v>Antwerp</v>
      </c>
      <c r="K255" s="295"/>
      <c r="L255" s="295"/>
      <c r="M255" s="295"/>
      <c r="N255" s="295"/>
      <c r="O255" s="295"/>
      <c r="P255" s="295"/>
      <c r="Q255" s="296"/>
      <c r="R255" s="227"/>
      <c r="S255" s="228">
        <f ca="1">IF(C255="",NA(),MATCH($B255&amp;$C255,'Smelter Reference List'!$J:$J,0))</f>
        <v>385</v>
      </c>
      <c r="T255" s="229"/>
      <c r="U255" s="229">
        <f t="shared" ca="1" si="8"/>
        <v>0</v>
      </c>
      <c r="V255" s="229"/>
      <c r="W255" s="229"/>
      <c r="Y255" s="223" t="str">
        <f t="shared" ca="1" si="9"/>
        <v>TinMetallo-Chimique N.V.</v>
      </c>
    </row>
    <row r="256" spans="1:25" s="223" customFormat="1" ht="20.25">
      <c r="A256" s="291" t="s">
        <v>3471</v>
      </c>
      <c r="B256" s="292" t="str">
        <f ca="1">IF(LEN(A256)=0,"",INDEX('Smelter Reference List'!$A:$A,MATCH($A256,'Smelter Reference List'!$E:$E,0)))</f>
        <v>Tin</v>
      </c>
      <c r="C256" s="298" t="str">
        <f ca="1">IF(LEN(A256)=0,"",INDEX('Smelter Reference List'!$C:$C,MATCH($A256,'Smelter Reference List'!$E:$E,0)))</f>
        <v>Elmet S.L.U.</v>
      </c>
      <c r="D256" s="292" t="str">
        <f ca="1">IF(ISERROR($S256),"",OFFSET('Smelter Reference List'!$C$4,$S256-4,0)&amp;"")</f>
        <v>Elmet S.L.U.</v>
      </c>
      <c r="E256" s="292" t="str">
        <f ca="1">IF(ISERROR($S256),"",OFFSET('Smelter Reference List'!$D$4,$S256-4,0)&amp;"")</f>
        <v>SPAIN</v>
      </c>
      <c r="F256" s="292" t="str">
        <f ca="1">IF(ISERROR($S256),"",OFFSET('Smelter Reference List'!$E$4,$S256-4,0))</f>
        <v>CID002774</v>
      </c>
      <c r="G256" s="292" t="str">
        <f ca="1">IF(C256=$U$4,"Enter smelter details", IF(ISERROR($S256),"",OFFSET('Smelter Reference List'!$F$4,$S256-4,0)))</f>
        <v>CFSI</v>
      </c>
      <c r="H256" s="293">
        <f ca="1">IF(ISERROR($S256),"",OFFSET('Smelter Reference List'!$G$4,$S256-4,0))</f>
        <v>0</v>
      </c>
      <c r="I256" s="294" t="str">
        <f ca="1">IF(ISERROR($S256),"",OFFSET('Smelter Reference List'!$H$4,$S256-4,0))</f>
        <v>Berango</v>
      </c>
      <c r="J256" s="294" t="str">
        <f ca="1">IF(ISERROR($S256),"",OFFSET('Smelter Reference List'!$I$4,$S256-4,0))</f>
        <v>Vizcaya</v>
      </c>
      <c r="K256" s="295"/>
      <c r="L256" s="295"/>
      <c r="M256" s="295"/>
      <c r="N256" s="295"/>
      <c r="O256" s="295"/>
      <c r="P256" s="295"/>
      <c r="Q256" s="296"/>
      <c r="R256" s="227"/>
      <c r="S256" s="228">
        <f ca="1">IF(C256="",NA(),MATCH($B256&amp;$C256,'Smelter Reference List'!$J:$J,0))</f>
        <v>346</v>
      </c>
      <c r="T256" s="229"/>
      <c r="U256" s="229">
        <f t="shared" ca="1" si="8"/>
        <v>0</v>
      </c>
      <c r="V256" s="229"/>
      <c r="W256" s="229"/>
      <c r="Y256" s="223" t="str">
        <f t="shared" ca="1" si="9"/>
        <v>TinElmet S.L.U.</v>
      </c>
    </row>
    <row r="257" spans="1:25" s="223" customFormat="1" ht="20.25">
      <c r="A257" s="291" t="s">
        <v>4163</v>
      </c>
      <c r="B257" s="292" t="str">
        <f ca="1">IF(LEN(A257)=0,"",INDEX('Smelter Reference List'!$A:$A,MATCH($A257,'Smelter Reference List'!$E:$E,0)))</f>
        <v>Tin</v>
      </c>
      <c r="C257" s="298" t="str">
        <f ca="1">IF(LEN(A257)=0,"",INDEX('Smelter Reference List'!$C:$C,MATCH($A257,'Smelter Reference List'!$E:$E,0)))</f>
        <v>PT Bangka Prima Tin</v>
      </c>
      <c r="D257" s="292" t="str">
        <f ca="1">IF(ISERROR($S257),"",OFFSET('Smelter Reference List'!$C$4,$S257-4,0)&amp;"")</f>
        <v>PT Bangka Prima Tin</v>
      </c>
      <c r="E257" s="292" t="str">
        <f ca="1">IF(ISERROR($S257),"",OFFSET('Smelter Reference List'!$D$4,$S257-4,0)&amp;"")</f>
        <v>INDONESIA</v>
      </c>
      <c r="F257" s="292" t="str">
        <f ca="1">IF(ISERROR($S257),"",OFFSET('Smelter Reference List'!$E$4,$S257-4,0))</f>
        <v>CID002776</v>
      </c>
      <c r="G257" s="292" t="str">
        <f ca="1">IF(C257=$U$4,"Enter smelter details", IF(ISERROR($S257),"",OFFSET('Smelter Reference List'!$F$4,$S257-4,0)))</f>
        <v>CFSI</v>
      </c>
      <c r="H257" s="293">
        <f ca="1">IF(ISERROR($S257),"",OFFSET('Smelter Reference List'!$G$4,$S257-4,0))</f>
        <v>0</v>
      </c>
      <c r="I257" s="294" t="str">
        <f ca="1">IF(ISERROR($S257),"",OFFSET('Smelter Reference List'!$H$4,$S257-4,0))</f>
        <v>Kabupaten</v>
      </c>
      <c r="J257" s="294" t="str">
        <f ca="1">IF(ISERROR($S257),"",OFFSET('Smelter Reference List'!$I$4,$S257-4,0))</f>
        <v>Bangka</v>
      </c>
      <c r="K257" s="295"/>
      <c r="L257" s="295"/>
      <c r="M257" s="295"/>
      <c r="N257" s="295"/>
      <c r="O257" s="295"/>
      <c r="P257" s="295"/>
      <c r="Q257" s="296"/>
      <c r="R257" s="227"/>
      <c r="S257" s="228">
        <f ca="1">IF(C257="",NA(),MATCH($B257&amp;$C257,'Smelter Reference List'!$J:$J,0))</f>
        <v>404</v>
      </c>
      <c r="T257" s="229"/>
      <c r="U257" s="229">
        <f t="shared" ca="1" si="8"/>
        <v>0</v>
      </c>
      <c r="V257" s="229"/>
      <c r="W257" s="229"/>
      <c r="Y257" s="223" t="str">
        <f t="shared" ca="1" si="9"/>
        <v>TinPT Bangka Prima Tin</v>
      </c>
    </row>
    <row r="258" spans="1:25" s="223" customFormat="1" ht="20.25">
      <c r="A258" s="291" t="s">
        <v>4160</v>
      </c>
      <c r="B258" s="292" t="str">
        <f ca="1">IF(LEN(A258)=0,"",INDEX('Smelter Reference List'!$A:$A,MATCH($A258,'Smelter Reference List'!$E:$E,0)))</f>
        <v>Gold</v>
      </c>
      <c r="C258" s="298" t="str">
        <f ca="1">IF(LEN(A258)=0,"",INDEX('Smelter Reference List'!$C:$C,MATCH($A258,'Smelter Reference List'!$E:$E,0)))</f>
        <v>Ögussa Österreichische Gold- und Silber-Scheideanstalt GmbH</v>
      </c>
      <c r="D258" s="292" t="str">
        <f ca="1">IF(ISERROR($S258),"",OFFSET('Smelter Reference List'!$C$4,$S258-4,0)&amp;"")</f>
        <v>Ögussa Österreichische Gold- und Silber-Scheideanstalt GmbH</v>
      </c>
      <c r="E258" s="292" t="str">
        <f ca="1">IF(ISERROR($S258),"",OFFSET('Smelter Reference List'!$D$4,$S258-4,0)&amp;"")</f>
        <v>AUSTRIA</v>
      </c>
      <c r="F258" s="292" t="str">
        <f ca="1">IF(ISERROR($S258),"",OFFSET('Smelter Reference List'!$E$4,$S258-4,0))</f>
        <v>CID002779</v>
      </c>
      <c r="G258" s="292" t="str">
        <f ca="1">IF(C258=$U$4,"Enter smelter details", IF(ISERROR($S258),"",OFFSET('Smelter Reference List'!$F$4,$S258-4,0)))</f>
        <v>CFSI</v>
      </c>
      <c r="H258" s="293">
        <f ca="1">IF(ISERROR($S258),"",OFFSET('Smelter Reference List'!$G$4,$S258-4,0))</f>
        <v>0</v>
      </c>
      <c r="I258" s="294" t="str">
        <f ca="1">IF(ISERROR($S258),"",OFFSET('Smelter Reference List'!$H$4,$S258-4,0))</f>
        <v>Vienna</v>
      </c>
      <c r="J258" s="294" t="str">
        <f ca="1">IF(ISERROR($S258),"",OFFSET('Smelter Reference List'!$I$4,$S258-4,0))</f>
        <v>Vienna</v>
      </c>
      <c r="K258" s="295"/>
      <c r="L258" s="295"/>
      <c r="M258" s="295"/>
      <c r="N258" s="295"/>
      <c r="O258" s="295"/>
      <c r="P258" s="295"/>
      <c r="Q258" s="296"/>
      <c r="R258" s="227"/>
      <c r="S258" s="228">
        <f ca="1">IF(C258="",NA(),MATCH($B258&amp;$C258,'Smelter Reference List'!$J:$J,0))</f>
        <v>141</v>
      </c>
      <c r="T258" s="229"/>
      <c r="U258" s="229">
        <f t="shared" ca="1" si="8"/>
        <v>0</v>
      </c>
      <c r="V258" s="229"/>
      <c r="W258" s="229"/>
      <c r="Y258" s="223" t="str">
        <f t="shared" ca="1" si="9"/>
        <v>GoldÖgussa Österreichische Gold- und Silber-Scheideanstalt GmbH</v>
      </c>
    </row>
    <row r="259" spans="1:25" s="223" customFormat="1" ht="20.25">
      <c r="A259" s="291" t="s">
        <v>4205</v>
      </c>
      <c r="B259" s="292" t="str">
        <f ca="1">IF(LEN(A259)=0,"",INDEX('Smelter Reference List'!$A:$A,MATCH($A259,'Smelter Reference List'!$E:$E,0)))</f>
        <v>Tin</v>
      </c>
      <c r="C259" s="298" t="str">
        <f ca="1">IF(LEN(A259)=0,"",INDEX('Smelter Reference List'!$C:$C,MATCH($A259,'Smelter Reference List'!$E:$E,0)))</f>
        <v>PT Sukses Inti Makmur</v>
      </c>
      <c r="D259" s="292" t="str">
        <f ca="1">IF(ISERROR($S259),"",OFFSET('Smelter Reference List'!$C$4,$S259-4,0)&amp;"")</f>
        <v>PT Sukses Inti Makmur</v>
      </c>
      <c r="E259" s="292" t="str">
        <f ca="1">IF(ISERROR($S259),"",OFFSET('Smelter Reference List'!$D$4,$S259-4,0)&amp;"")</f>
        <v>INDONESIA</v>
      </c>
      <c r="F259" s="292" t="str">
        <f ca="1">IF(ISERROR($S259),"",OFFSET('Smelter Reference List'!$E$4,$S259-4,0))</f>
        <v>CID002816</v>
      </c>
      <c r="G259" s="292" t="str">
        <f ca="1">IF(C259=$U$4,"Enter smelter details", IF(ISERROR($S259),"",OFFSET('Smelter Reference List'!$F$4,$S259-4,0)))</f>
        <v>CFSI</v>
      </c>
      <c r="H259" s="293">
        <f ca="1">IF(ISERROR($S259),"",OFFSET('Smelter Reference List'!$G$4,$S259-4,0))</f>
        <v>0</v>
      </c>
      <c r="I259" s="294" t="str">
        <f ca="1">IF(ISERROR($S259),"",OFFSET('Smelter Reference List'!$H$4,$S259-4,0))</f>
        <v>Kabupaten</v>
      </c>
      <c r="J259" s="294" t="str">
        <f ca="1">IF(ISERROR($S259),"",OFFSET('Smelter Reference List'!$I$4,$S259-4,0))</f>
        <v>Bangka</v>
      </c>
      <c r="K259" s="295"/>
      <c r="L259" s="295"/>
      <c r="M259" s="295"/>
      <c r="N259" s="295"/>
      <c r="O259" s="295"/>
      <c r="P259" s="295"/>
      <c r="Q259" s="296"/>
      <c r="R259" s="227"/>
      <c r="S259" s="228">
        <f ca="1">IF(C259="",NA(),MATCH($B259&amp;$C259,'Smelter Reference List'!$J:$J,0))</f>
        <v>426</v>
      </c>
      <c r="T259" s="229"/>
      <c r="U259" s="229">
        <f t="shared" ca="1" si="8"/>
        <v>0</v>
      </c>
      <c r="V259" s="229"/>
      <c r="W259" s="229"/>
      <c r="Y259" s="223" t="str">
        <f t="shared" ca="1" si="9"/>
        <v>TinPT Sukses Inti Makmur</v>
      </c>
    </row>
    <row r="260" spans="1:25" s="223" customFormat="1" ht="20.25">
      <c r="A260" s="291"/>
      <c r="B260" s="292" t="str">
        <f>IF(LEN(A260)=0,"",INDEX('Smelter Reference List'!$A:$A,MATCH($A260,'Smelter Reference List'!$E:$E,0)))</f>
        <v/>
      </c>
      <c r="C260" s="298" t="str">
        <f>IF(LEN(A260)=0,"",INDEX('Smelter Reference List'!$C:$C,MATCH($A260,'Smelter Reference List'!$E:$E,0)))</f>
        <v/>
      </c>
      <c r="D260" s="292" t="str">
        <f ca="1">IF(ISERROR($S260),"",OFFSET('Smelter Reference List'!$C$4,$S260-4,0)&amp;"")</f>
        <v/>
      </c>
      <c r="E260" s="292" t="str">
        <f ca="1">IF(ISERROR($S260),"",OFFSET('Smelter Reference List'!$D$4,$S260-4,0)&amp;"")</f>
        <v/>
      </c>
      <c r="F260" s="292" t="str">
        <f ca="1">IF(ISERROR($S260),"",OFFSET('Smelter Reference List'!$E$4,$S260-4,0))</f>
        <v/>
      </c>
      <c r="G260" s="292" t="str">
        <f ca="1">IF(C260=$U$4,"Enter smelter details", IF(ISERROR($S260),"",OFFSET('Smelter Reference List'!$F$4,$S260-4,0)))</f>
        <v/>
      </c>
      <c r="H260" s="293" t="str">
        <f ca="1">IF(ISERROR($S260),"",OFFSET('Smelter Reference List'!$G$4,$S260-4,0))</f>
        <v/>
      </c>
      <c r="I260" s="294" t="str">
        <f ca="1">IF(ISERROR($S260),"",OFFSET('Smelter Reference List'!$H$4,$S260-4,0))</f>
        <v/>
      </c>
      <c r="J260" s="294" t="str">
        <f ca="1">IF(ISERROR($S260),"",OFFSET('Smelter Reference List'!$I$4,$S260-4,0))</f>
        <v/>
      </c>
      <c r="K260" s="295"/>
      <c r="L260" s="295"/>
      <c r="M260" s="295"/>
      <c r="N260" s="295"/>
      <c r="O260" s="295"/>
      <c r="P260" s="295"/>
      <c r="Q260" s="296"/>
      <c r="R260" s="227"/>
      <c r="S260" s="228" t="e">
        <f>IF(C260="",NA(),MATCH($B260&amp;$C260,'Smelter Reference List'!$J:$J,0))</f>
        <v>#N/A</v>
      </c>
      <c r="T260" s="229"/>
      <c r="U260" s="229">
        <f t="shared" ca="1" si="8"/>
        <v>0</v>
      </c>
      <c r="V260" s="229"/>
      <c r="W260" s="229"/>
      <c r="Y260" s="223" t="str">
        <f t="shared" si="9"/>
        <v/>
      </c>
    </row>
    <row r="261" spans="1:25" s="223" customFormat="1" ht="20.25">
      <c r="A261" s="291"/>
      <c r="B261" s="292" t="str">
        <f>IF(LEN(A261)=0,"",INDEX('Smelter Reference List'!$A:$A,MATCH($A261,'Smelter Reference List'!$E:$E,0)))</f>
        <v/>
      </c>
      <c r="C261" s="298" t="str">
        <f>IF(LEN(A261)=0,"",INDEX('Smelter Reference List'!$C:$C,MATCH($A261,'Smelter Reference List'!$E:$E,0)))</f>
        <v/>
      </c>
      <c r="D261" s="292" t="str">
        <f ca="1">IF(ISERROR($S261),"",OFFSET('Smelter Reference List'!$C$4,$S261-4,0)&amp;"")</f>
        <v/>
      </c>
      <c r="E261" s="292" t="str">
        <f ca="1">IF(ISERROR($S261),"",OFFSET('Smelter Reference List'!$D$4,$S261-4,0)&amp;"")</f>
        <v/>
      </c>
      <c r="F261" s="292" t="str">
        <f ca="1">IF(ISERROR($S261),"",OFFSET('Smelter Reference List'!$E$4,$S261-4,0))</f>
        <v/>
      </c>
      <c r="G261" s="292" t="str">
        <f ca="1">IF(C261=$U$4,"Enter smelter details", IF(ISERROR($S261),"",OFFSET('Smelter Reference List'!$F$4,$S261-4,0)))</f>
        <v/>
      </c>
      <c r="H261" s="293" t="str">
        <f ca="1">IF(ISERROR($S261),"",OFFSET('Smelter Reference List'!$G$4,$S261-4,0))</f>
        <v/>
      </c>
      <c r="I261" s="294" t="str">
        <f ca="1">IF(ISERROR($S261),"",OFFSET('Smelter Reference List'!$H$4,$S261-4,0))</f>
        <v/>
      </c>
      <c r="J261" s="294" t="str">
        <f ca="1">IF(ISERROR($S261),"",OFFSET('Smelter Reference List'!$I$4,$S261-4,0))</f>
        <v/>
      </c>
      <c r="K261" s="295"/>
      <c r="L261" s="295"/>
      <c r="M261" s="295"/>
      <c r="N261" s="295"/>
      <c r="O261" s="295"/>
      <c r="P261" s="295"/>
      <c r="Q261" s="296"/>
      <c r="R261" s="227"/>
      <c r="S261" s="228" t="e">
        <f>IF(C261="",NA(),MATCH($B261&amp;$C261,'Smelter Reference List'!$J:$J,0))</f>
        <v>#N/A</v>
      </c>
      <c r="T261" s="229"/>
      <c r="U261" s="229">
        <f t="shared" ref="U261:U324" ca="1" si="10">IF(AND(C261="Smelter not listed",OR(LEN(D261)=0,LEN(E261)=0)),1,0)</f>
        <v>0</v>
      </c>
      <c r="V261" s="229"/>
      <c r="W261" s="229"/>
      <c r="Y261" s="223" t="str">
        <f t="shared" ref="Y261:Y324" si="11">B261&amp;C261</f>
        <v/>
      </c>
    </row>
    <row r="262" spans="1:25" s="223" customFormat="1" ht="20.25">
      <c r="A262" s="291"/>
      <c r="B262" s="292" t="str">
        <f>IF(LEN(A262)=0,"",INDEX('Smelter Reference List'!$A:$A,MATCH($A262,'Smelter Reference List'!$E:$E,0)))</f>
        <v/>
      </c>
      <c r="C262" s="298" t="str">
        <f>IF(LEN(A262)=0,"",INDEX('Smelter Reference List'!$C:$C,MATCH($A262,'Smelter Reference List'!$E:$E,0)))</f>
        <v/>
      </c>
      <c r="D262" s="292" t="str">
        <f ca="1">IF(ISERROR($S262),"",OFFSET('Smelter Reference List'!$C$4,$S262-4,0)&amp;"")</f>
        <v/>
      </c>
      <c r="E262" s="292" t="str">
        <f ca="1">IF(ISERROR($S262),"",OFFSET('Smelter Reference List'!$D$4,$S262-4,0)&amp;"")</f>
        <v/>
      </c>
      <c r="F262" s="292" t="str">
        <f ca="1">IF(ISERROR($S262),"",OFFSET('Smelter Reference List'!$E$4,$S262-4,0))</f>
        <v/>
      </c>
      <c r="G262" s="292" t="str">
        <f ca="1">IF(C262=$U$4,"Enter smelter details", IF(ISERROR($S262),"",OFFSET('Smelter Reference List'!$F$4,$S262-4,0)))</f>
        <v/>
      </c>
      <c r="H262" s="293" t="str">
        <f ca="1">IF(ISERROR($S262),"",OFFSET('Smelter Reference List'!$G$4,$S262-4,0))</f>
        <v/>
      </c>
      <c r="I262" s="294" t="str">
        <f ca="1">IF(ISERROR($S262),"",OFFSET('Smelter Reference List'!$H$4,$S262-4,0))</f>
        <v/>
      </c>
      <c r="J262" s="294" t="str">
        <f ca="1">IF(ISERROR($S262),"",OFFSET('Smelter Reference List'!$I$4,$S262-4,0))</f>
        <v/>
      </c>
      <c r="K262" s="295"/>
      <c r="L262" s="295"/>
      <c r="M262" s="295"/>
      <c r="N262" s="295"/>
      <c r="O262" s="295"/>
      <c r="P262" s="295"/>
      <c r="Q262" s="296"/>
      <c r="R262" s="227"/>
      <c r="S262" s="228" t="e">
        <f>IF(C262="",NA(),MATCH($B262&amp;$C262,'Smelter Reference List'!$J:$J,0))</f>
        <v>#N/A</v>
      </c>
      <c r="T262" s="229"/>
      <c r="U262" s="229">
        <f t="shared" ca="1" si="10"/>
        <v>0</v>
      </c>
      <c r="V262" s="229"/>
      <c r="W262" s="229"/>
      <c r="Y262" s="223" t="str">
        <f t="shared" si="11"/>
        <v/>
      </c>
    </row>
    <row r="263" spans="1:25" s="223" customFormat="1" ht="20.25">
      <c r="A263" s="291"/>
      <c r="B263" s="292" t="str">
        <f>IF(LEN(A263)=0,"",INDEX('Smelter Reference List'!$A:$A,MATCH($A263,'Smelter Reference List'!$E:$E,0)))</f>
        <v/>
      </c>
      <c r="C263" s="298" t="str">
        <f>IF(LEN(A263)=0,"",INDEX('Smelter Reference List'!$C:$C,MATCH($A263,'Smelter Reference List'!$E:$E,0)))</f>
        <v/>
      </c>
      <c r="D263" s="292" t="str">
        <f ca="1">IF(ISERROR($S263),"",OFFSET('Smelter Reference List'!$C$4,$S263-4,0)&amp;"")</f>
        <v/>
      </c>
      <c r="E263" s="292" t="str">
        <f ca="1">IF(ISERROR($S263),"",OFFSET('Smelter Reference List'!$D$4,$S263-4,0)&amp;"")</f>
        <v/>
      </c>
      <c r="F263" s="292" t="str">
        <f ca="1">IF(ISERROR($S263),"",OFFSET('Smelter Reference List'!$E$4,$S263-4,0))</f>
        <v/>
      </c>
      <c r="G263" s="292" t="str">
        <f ca="1">IF(C263=$U$4,"Enter smelter details", IF(ISERROR($S263),"",OFFSET('Smelter Reference List'!$F$4,$S263-4,0)))</f>
        <v/>
      </c>
      <c r="H263" s="293" t="str">
        <f ca="1">IF(ISERROR($S263),"",OFFSET('Smelter Reference List'!$G$4,$S263-4,0))</f>
        <v/>
      </c>
      <c r="I263" s="294" t="str">
        <f ca="1">IF(ISERROR($S263),"",OFFSET('Smelter Reference List'!$H$4,$S263-4,0))</f>
        <v/>
      </c>
      <c r="J263" s="294" t="str">
        <f ca="1">IF(ISERROR($S263),"",OFFSET('Smelter Reference List'!$I$4,$S263-4,0))</f>
        <v/>
      </c>
      <c r="K263" s="295"/>
      <c r="L263" s="295"/>
      <c r="M263" s="295"/>
      <c r="N263" s="295"/>
      <c r="O263" s="295"/>
      <c r="P263" s="295"/>
      <c r="Q263" s="296"/>
      <c r="R263" s="227"/>
      <c r="S263" s="228" t="e">
        <f>IF(C263="",NA(),MATCH($B263&amp;$C263,'Smelter Reference List'!$J:$J,0))</f>
        <v>#N/A</v>
      </c>
      <c r="T263" s="229"/>
      <c r="U263" s="229">
        <f t="shared" ca="1" si="10"/>
        <v>0</v>
      </c>
      <c r="V263" s="229"/>
      <c r="W263" s="229"/>
      <c r="Y263" s="223" t="str">
        <f t="shared" si="11"/>
        <v/>
      </c>
    </row>
    <row r="264" spans="1:25" s="223" customFormat="1" ht="20.25">
      <c r="A264" s="291"/>
      <c r="B264" s="292" t="str">
        <f>IF(LEN(A264)=0,"",INDEX('Smelter Reference List'!$A:$A,MATCH($A264,'Smelter Reference List'!$E:$E,0)))</f>
        <v/>
      </c>
      <c r="C264" s="298" t="str">
        <f>IF(LEN(A264)=0,"",INDEX('Smelter Reference List'!$C:$C,MATCH($A264,'Smelter Reference List'!$E:$E,0)))</f>
        <v/>
      </c>
      <c r="D264" s="292" t="str">
        <f ca="1">IF(ISERROR($S264),"",OFFSET('Smelter Reference List'!$C$4,$S264-4,0)&amp;"")</f>
        <v/>
      </c>
      <c r="E264" s="292" t="str">
        <f ca="1">IF(ISERROR($S264),"",OFFSET('Smelter Reference List'!$D$4,$S264-4,0)&amp;"")</f>
        <v/>
      </c>
      <c r="F264" s="292" t="str">
        <f ca="1">IF(ISERROR($S264),"",OFFSET('Smelter Reference List'!$E$4,$S264-4,0))</f>
        <v/>
      </c>
      <c r="G264" s="292" t="str">
        <f ca="1">IF(C264=$U$4,"Enter smelter details", IF(ISERROR($S264),"",OFFSET('Smelter Reference List'!$F$4,$S264-4,0)))</f>
        <v/>
      </c>
      <c r="H264" s="293" t="str">
        <f ca="1">IF(ISERROR($S264),"",OFFSET('Smelter Reference List'!$G$4,$S264-4,0))</f>
        <v/>
      </c>
      <c r="I264" s="294" t="str">
        <f ca="1">IF(ISERROR($S264),"",OFFSET('Smelter Reference List'!$H$4,$S264-4,0))</f>
        <v/>
      </c>
      <c r="J264" s="294" t="str">
        <f ca="1">IF(ISERROR($S264),"",OFFSET('Smelter Reference List'!$I$4,$S264-4,0))</f>
        <v/>
      </c>
      <c r="K264" s="295"/>
      <c r="L264" s="295"/>
      <c r="M264" s="295"/>
      <c r="N264" s="295"/>
      <c r="O264" s="295"/>
      <c r="P264" s="295"/>
      <c r="Q264" s="296"/>
      <c r="R264" s="227"/>
      <c r="S264" s="228" t="e">
        <f>IF(C264="",NA(),MATCH($B264&amp;$C264,'Smelter Reference List'!$J:$J,0))</f>
        <v>#N/A</v>
      </c>
      <c r="T264" s="229"/>
      <c r="U264" s="229">
        <f t="shared" ca="1" si="10"/>
        <v>0</v>
      </c>
      <c r="V264" s="229"/>
      <c r="W264" s="229"/>
      <c r="Y264" s="223" t="str">
        <f t="shared" si="11"/>
        <v/>
      </c>
    </row>
    <row r="265" spans="1:25" s="223" customFormat="1" ht="20.25">
      <c r="A265" s="291"/>
      <c r="B265" s="292" t="str">
        <f>IF(LEN(A265)=0,"",INDEX('Smelter Reference List'!$A:$A,MATCH($A265,'Smelter Reference List'!$E:$E,0)))</f>
        <v/>
      </c>
      <c r="C265" s="298" t="str">
        <f>IF(LEN(A265)=0,"",INDEX('Smelter Reference List'!$C:$C,MATCH($A265,'Smelter Reference List'!$E:$E,0)))</f>
        <v/>
      </c>
      <c r="D265" s="292" t="str">
        <f ca="1">IF(ISERROR($S265),"",OFFSET('Smelter Reference List'!$C$4,$S265-4,0)&amp;"")</f>
        <v/>
      </c>
      <c r="E265" s="292" t="str">
        <f ca="1">IF(ISERROR($S265),"",OFFSET('Smelter Reference List'!$D$4,$S265-4,0)&amp;"")</f>
        <v/>
      </c>
      <c r="F265" s="292" t="str">
        <f ca="1">IF(ISERROR($S265),"",OFFSET('Smelter Reference List'!$E$4,$S265-4,0))</f>
        <v/>
      </c>
      <c r="G265" s="292" t="str">
        <f ca="1">IF(C265=$U$4,"Enter smelter details", IF(ISERROR($S265),"",OFFSET('Smelter Reference List'!$F$4,$S265-4,0)))</f>
        <v/>
      </c>
      <c r="H265" s="293" t="str">
        <f ca="1">IF(ISERROR($S265),"",OFFSET('Smelter Reference List'!$G$4,$S265-4,0))</f>
        <v/>
      </c>
      <c r="I265" s="294" t="str">
        <f ca="1">IF(ISERROR($S265),"",OFFSET('Smelter Reference List'!$H$4,$S265-4,0))</f>
        <v/>
      </c>
      <c r="J265" s="294" t="str">
        <f ca="1">IF(ISERROR($S265),"",OFFSET('Smelter Reference List'!$I$4,$S265-4,0))</f>
        <v/>
      </c>
      <c r="K265" s="295"/>
      <c r="L265" s="295"/>
      <c r="M265" s="295"/>
      <c r="N265" s="295"/>
      <c r="O265" s="295"/>
      <c r="P265" s="295"/>
      <c r="Q265" s="296"/>
      <c r="R265" s="227"/>
      <c r="S265" s="228" t="e">
        <f>IF(C265="",NA(),MATCH($B265&amp;$C265,'Smelter Reference List'!$J:$J,0))</f>
        <v>#N/A</v>
      </c>
      <c r="T265" s="229"/>
      <c r="U265" s="229">
        <f t="shared" ca="1" si="10"/>
        <v>0</v>
      </c>
      <c r="V265" s="229"/>
      <c r="W265" s="229"/>
      <c r="Y265" s="223" t="str">
        <f t="shared" si="11"/>
        <v/>
      </c>
    </row>
    <row r="266" spans="1:25" s="223" customFormat="1" ht="20.25">
      <c r="A266" s="291"/>
      <c r="B266" s="292" t="str">
        <f>IF(LEN(A266)=0,"",INDEX('Smelter Reference List'!$A:$A,MATCH($A266,'Smelter Reference List'!$E:$E,0)))</f>
        <v/>
      </c>
      <c r="C266" s="298" t="str">
        <f>IF(LEN(A266)=0,"",INDEX('Smelter Reference List'!$C:$C,MATCH($A266,'Smelter Reference List'!$E:$E,0)))</f>
        <v/>
      </c>
      <c r="D266" s="292" t="str">
        <f ca="1">IF(ISERROR($S266),"",OFFSET('Smelter Reference List'!$C$4,$S266-4,0)&amp;"")</f>
        <v/>
      </c>
      <c r="E266" s="292" t="str">
        <f ca="1">IF(ISERROR($S266),"",OFFSET('Smelter Reference List'!$D$4,$S266-4,0)&amp;"")</f>
        <v/>
      </c>
      <c r="F266" s="292" t="str">
        <f ca="1">IF(ISERROR($S266),"",OFFSET('Smelter Reference List'!$E$4,$S266-4,0))</f>
        <v/>
      </c>
      <c r="G266" s="292" t="str">
        <f ca="1">IF(C266=$U$4,"Enter smelter details", IF(ISERROR($S266),"",OFFSET('Smelter Reference List'!$F$4,$S266-4,0)))</f>
        <v/>
      </c>
      <c r="H266" s="293" t="str">
        <f ca="1">IF(ISERROR($S266),"",OFFSET('Smelter Reference List'!$G$4,$S266-4,0))</f>
        <v/>
      </c>
      <c r="I266" s="294" t="str">
        <f ca="1">IF(ISERROR($S266),"",OFFSET('Smelter Reference List'!$H$4,$S266-4,0))</f>
        <v/>
      </c>
      <c r="J266" s="294" t="str">
        <f ca="1">IF(ISERROR($S266),"",OFFSET('Smelter Reference List'!$I$4,$S266-4,0))</f>
        <v/>
      </c>
      <c r="K266" s="295"/>
      <c r="L266" s="295"/>
      <c r="M266" s="295"/>
      <c r="N266" s="295"/>
      <c r="O266" s="295"/>
      <c r="P266" s="295"/>
      <c r="Q266" s="296"/>
      <c r="R266" s="227"/>
      <c r="S266" s="228" t="e">
        <f>IF(C266="",NA(),MATCH($B266&amp;$C266,'Smelter Reference List'!$J:$J,0))</f>
        <v>#N/A</v>
      </c>
      <c r="T266" s="229"/>
      <c r="U266" s="229">
        <f t="shared" ca="1" si="10"/>
        <v>0</v>
      </c>
      <c r="V266" s="229"/>
      <c r="W266" s="229"/>
      <c r="Y266" s="223" t="str">
        <f t="shared" si="11"/>
        <v/>
      </c>
    </row>
    <row r="267" spans="1:25" s="223" customFormat="1" ht="20.25">
      <c r="A267" s="291"/>
      <c r="B267" s="292" t="str">
        <f>IF(LEN(A267)=0,"",INDEX('Smelter Reference List'!$A:$A,MATCH($A267,'Smelter Reference List'!$E:$E,0)))</f>
        <v/>
      </c>
      <c r="C267" s="298" t="str">
        <f>IF(LEN(A267)=0,"",INDEX('Smelter Reference List'!$C:$C,MATCH($A267,'Smelter Reference List'!$E:$E,0)))</f>
        <v/>
      </c>
      <c r="D267" s="292" t="str">
        <f ca="1">IF(ISERROR($S267),"",OFFSET('Smelter Reference List'!$C$4,$S267-4,0)&amp;"")</f>
        <v/>
      </c>
      <c r="E267" s="292" t="str">
        <f ca="1">IF(ISERROR($S267),"",OFFSET('Smelter Reference List'!$D$4,$S267-4,0)&amp;"")</f>
        <v/>
      </c>
      <c r="F267" s="292" t="str">
        <f ca="1">IF(ISERROR($S267),"",OFFSET('Smelter Reference List'!$E$4,$S267-4,0))</f>
        <v/>
      </c>
      <c r="G267" s="292" t="str">
        <f ca="1">IF(C267=$U$4,"Enter smelter details", IF(ISERROR($S267),"",OFFSET('Smelter Reference List'!$F$4,$S267-4,0)))</f>
        <v/>
      </c>
      <c r="H267" s="293" t="str">
        <f ca="1">IF(ISERROR($S267),"",OFFSET('Smelter Reference List'!$G$4,$S267-4,0))</f>
        <v/>
      </c>
      <c r="I267" s="294" t="str">
        <f ca="1">IF(ISERROR($S267),"",OFFSET('Smelter Reference List'!$H$4,$S267-4,0))</f>
        <v/>
      </c>
      <c r="J267" s="294" t="str">
        <f ca="1">IF(ISERROR($S267),"",OFFSET('Smelter Reference List'!$I$4,$S267-4,0))</f>
        <v/>
      </c>
      <c r="K267" s="295"/>
      <c r="L267" s="295"/>
      <c r="M267" s="295"/>
      <c r="N267" s="295"/>
      <c r="O267" s="295"/>
      <c r="P267" s="295"/>
      <c r="Q267" s="296"/>
      <c r="R267" s="227"/>
      <c r="S267" s="228" t="e">
        <f>IF(C267="",NA(),MATCH($B267&amp;$C267,'Smelter Reference List'!$J:$J,0))</f>
        <v>#N/A</v>
      </c>
      <c r="T267" s="229"/>
      <c r="U267" s="229">
        <f t="shared" ca="1" si="10"/>
        <v>0</v>
      </c>
      <c r="V267" s="229"/>
      <c r="W267" s="229"/>
      <c r="Y267" s="223" t="str">
        <f t="shared" si="11"/>
        <v/>
      </c>
    </row>
    <row r="268" spans="1:25" s="223" customFormat="1" ht="20.25">
      <c r="A268" s="291"/>
      <c r="B268" s="292" t="str">
        <f>IF(LEN(A268)=0,"",INDEX('Smelter Reference List'!$A:$A,MATCH($A268,'Smelter Reference List'!$E:$E,0)))</f>
        <v/>
      </c>
      <c r="C268" s="298" t="str">
        <f>IF(LEN(A268)=0,"",INDEX('Smelter Reference List'!$C:$C,MATCH($A268,'Smelter Reference List'!$E:$E,0)))</f>
        <v/>
      </c>
      <c r="D268" s="292" t="str">
        <f ca="1">IF(ISERROR($S268),"",OFFSET('Smelter Reference List'!$C$4,$S268-4,0)&amp;"")</f>
        <v/>
      </c>
      <c r="E268" s="292" t="str">
        <f ca="1">IF(ISERROR($S268),"",OFFSET('Smelter Reference List'!$D$4,$S268-4,0)&amp;"")</f>
        <v/>
      </c>
      <c r="F268" s="292" t="str">
        <f ca="1">IF(ISERROR($S268),"",OFFSET('Smelter Reference List'!$E$4,$S268-4,0))</f>
        <v/>
      </c>
      <c r="G268" s="292" t="str">
        <f ca="1">IF(C268=$U$4,"Enter smelter details", IF(ISERROR($S268),"",OFFSET('Smelter Reference List'!$F$4,$S268-4,0)))</f>
        <v/>
      </c>
      <c r="H268" s="293" t="str">
        <f ca="1">IF(ISERROR($S268),"",OFFSET('Smelter Reference List'!$G$4,$S268-4,0))</f>
        <v/>
      </c>
      <c r="I268" s="294" t="str">
        <f ca="1">IF(ISERROR($S268),"",OFFSET('Smelter Reference List'!$H$4,$S268-4,0))</f>
        <v/>
      </c>
      <c r="J268" s="294" t="str">
        <f ca="1">IF(ISERROR($S268),"",OFFSET('Smelter Reference List'!$I$4,$S268-4,0))</f>
        <v/>
      </c>
      <c r="K268" s="295"/>
      <c r="L268" s="295"/>
      <c r="M268" s="295"/>
      <c r="N268" s="295"/>
      <c r="O268" s="295"/>
      <c r="P268" s="295"/>
      <c r="Q268" s="296"/>
      <c r="R268" s="227"/>
      <c r="S268" s="228" t="e">
        <f>IF(C268="",NA(),MATCH($B268&amp;$C268,'Smelter Reference List'!$J:$J,0))</f>
        <v>#N/A</v>
      </c>
      <c r="T268" s="229"/>
      <c r="U268" s="229">
        <f t="shared" ca="1" si="10"/>
        <v>0</v>
      </c>
      <c r="V268" s="229"/>
      <c r="W268" s="229"/>
      <c r="Y268" s="223" t="str">
        <f t="shared" si="11"/>
        <v/>
      </c>
    </row>
    <row r="269" spans="1:25" s="223" customFormat="1" ht="20.25">
      <c r="A269" s="291"/>
      <c r="B269" s="292" t="str">
        <f>IF(LEN(A269)=0,"",INDEX('Smelter Reference List'!$A:$A,MATCH($A269,'Smelter Reference List'!$E:$E,0)))</f>
        <v/>
      </c>
      <c r="C269" s="298" t="str">
        <f>IF(LEN(A269)=0,"",INDEX('Smelter Reference List'!$C:$C,MATCH($A269,'Smelter Reference List'!$E:$E,0)))</f>
        <v/>
      </c>
      <c r="D269" s="292" t="str">
        <f ca="1">IF(ISERROR($S269),"",OFFSET('Smelter Reference List'!$C$4,$S269-4,0)&amp;"")</f>
        <v/>
      </c>
      <c r="E269" s="292" t="str">
        <f ca="1">IF(ISERROR($S269),"",OFFSET('Smelter Reference List'!$D$4,$S269-4,0)&amp;"")</f>
        <v/>
      </c>
      <c r="F269" s="292" t="str">
        <f ca="1">IF(ISERROR($S269),"",OFFSET('Smelter Reference List'!$E$4,$S269-4,0))</f>
        <v/>
      </c>
      <c r="G269" s="292" t="str">
        <f ca="1">IF(C269=$U$4,"Enter smelter details", IF(ISERROR($S269),"",OFFSET('Smelter Reference List'!$F$4,$S269-4,0)))</f>
        <v/>
      </c>
      <c r="H269" s="293" t="str">
        <f ca="1">IF(ISERROR($S269),"",OFFSET('Smelter Reference List'!$G$4,$S269-4,0))</f>
        <v/>
      </c>
      <c r="I269" s="294" t="str">
        <f ca="1">IF(ISERROR($S269),"",OFFSET('Smelter Reference List'!$H$4,$S269-4,0))</f>
        <v/>
      </c>
      <c r="J269" s="294" t="str">
        <f ca="1">IF(ISERROR($S269),"",OFFSET('Smelter Reference List'!$I$4,$S269-4,0))</f>
        <v/>
      </c>
      <c r="K269" s="295"/>
      <c r="L269" s="295"/>
      <c r="M269" s="295"/>
      <c r="N269" s="295"/>
      <c r="O269" s="295"/>
      <c r="P269" s="295"/>
      <c r="Q269" s="296"/>
      <c r="R269" s="227"/>
      <c r="S269" s="228" t="e">
        <f>IF(C269="",NA(),MATCH($B269&amp;$C269,'Smelter Reference List'!$J:$J,0))</f>
        <v>#N/A</v>
      </c>
      <c r="T269" s="229"/>
      <c r="U269" s="229">
        <f t="shared" ca="1" si="10"/>
        <v>0</v>
      </c>
      <c r="V269" s="229"/>
      <c r="W269" s="229"/>
      <c r="Y269" s="223" t="str">
        <f t="shared" si="11"/>
        <v/>
      </c>
    </row>
    <row r="270" spans="1:25" s="223" customFormat="1" ht="20.25">
      <c r="A270" s="291"/>
      <c r="B270" s="292" t="str">
        <f>IF(LEN(A270)=0,"",INDEX('Smelter Reference List'!$A:$A,MATCH($A270,'Smelter Reference List'!$E:$E,0)))</f>
        <v/>
      </c>
      <c r="C270" s="298" t="str">
        <f>IF(LEN(A270)=0,"",INDEX('Smelter Reference List'!$C:$C,MATCH($A270,'Smelter Reference List'!$E:$E,0)))</f>
        <v/>
      </c>
      <c r="D270" s="292" t="str">
        <f ca="1">IF(ISERROR($S270),"",OFFSET('Smelter Reference List'!$C$4,$S270-4,0)&amp;"")</f>
        <v/>
      </c>
      <c r="E270" s="292" t="str">
        <f ca="1">IF(ISERROR($S270),"",OFFSET('Smelter Reference List'!$D$4,$S270-4,0)&amp;"")</f>
        <v/>
      </c>
      <c r="F270" s="292" t="str">
        <f ca="1">IF(ISERROR($S270),"",OFFSET('Smelter Reference List'!$E$4,$S270-4,0))</f>
        <v/>
      </c>
      <c r="G270" s="292" t="str">
        <f ca="1">IF(C270=$U$4,"Enter smelter details", IF(ISERROR($S270),"",OFFSET('Smelter Reference List'!$F$4,$S270-4,0)))</f>
        <v/>
      </c>
      <c r="H270" s="293" t="str">
        <f ca="1">IF(ISERROR($S270),"",OFFSET('Smelter Reference List'!$G$4,$S270-4,0))</f>
        <v/>
      </c>
      <c r="I270" s="294" t="str">
        <f ca="1">IF(ISERROR($S270),"",OFFSET('Smelter Reference List'!$H$4,$S270-4,0))</f>
        <v/>
      </c>
      <c r="J270" s="294" t="str">
        <f ca="1">IF(ISERROR($S270),"",OFFSET('Smelter Reference List'!$I$4,$S270-4,0))</f>
        <v/>
      </c>
      <c r="K270" s="295"/>
      <c r="L270" s="295"/>
      <c r="M270" s="295"/>
      <c r="N270" s="295"/>
      <c r="O270" s="295"/>
      <c r="P270" s="295"/>
      <c r="Q270" s="296"/>
      <c r="R270" s="227"/>
      <c r="S270" s="228" t="e">
        <f>IF(C270="",NA(),MATCH($B270&amp;$C270,'Smelter Reference List'!$J:$J,0))</f>
        <v>#N/A</v>
      </c>
      <c r="T270" s="229"/>
      <c r="U270" s="229">
        <f t="shared" ca="1" si="10"/>
        <v>0</v>
      </c>
      <c r="V270" s="229"/>
      <c r="W270" s="229"/>
      <c r="Y270" s="223" t="str">
        <f t="shared" si="11"/>
        <v/>
      </c>
    </row>
    <row r="271" spans="1:25" s="223" customFormat="1" ht="20.25">
      <c r="A271" s="291"/>
      <c r="B271" s="292" t="str">
        <f>IF(LEN(A271)=0,"",INDEX('Smelter Reference List'!$A:$A,MATCH($A271,'Smelter Reference List'!$E:$E,0)))</f>
        <v/>
      </c>
      <c r="C271" s="298" t="str">
        <f>IF(LEN(A271)=0,"",INDEX('Smelter Reference List'!$C:$C,MATCH($A271,'Smelter Reference List'!$E:$E,0)))</f>
        <v/>
      </c>
      <c r="D271" s="292" t="str">
        <f ca="1">IF(ISERROR($S271),"",OFFSET('Smelter Reference List'!$C$4,$S271-4,0)&amp;"")</f>
        <v/>
      </c>
      <c r="E271" s="292" t="str">
        <f ca="1">IF(ISERROR($S271),"",OFFSET('Smelter Reference List'!$D$4,$S271-4,0)&amp;"")</f>
        <v/>
      </c>
      <c r="F271" s="292" t="str">
        <f ca="1">IF(ISERROR($S271),"",OFFSET('Smelter Reference List'!$E$4,$S271-4,0))</f>
        <v/>
      </c>
      <c r="G271" s="292" t="str">
        <f ca="1">IF(C271=$U$4,"Enter smelter details", IF(ISERROR($S271),"",OFFSET('Smelter Reference List'!$F$4,$S271-4,0)))</f>
        <v/>
      </c>
      <c r="H271" s="293" t="str">
        <f ca="1">IF(ISERROR($S271),"",OFFSET('Smelter Reference List'!$G$4,$S271-4,0))</f>
        <v/>
      </c>
      <c r="I271" s="294" t="str">
        <f ca="1">IF(ISERROR($S271),"",OFFSET('Smelter Reference List'!$H$4,$S271-4,0))</f>
        <v/>
      </c>
      <c r="J271" s="294" t="str">
        <f ca="1">IF(ISERROR($S271),"",OFFSET('Smelter Reference List'!$I$4,$S271-4,0))</f>
        <v/>
      </c>
      <c r="K271" s="295"/>
      <c r="L271" s="295"/>
      <c r="M271" s="295"/>
      <c r="N271" s="295"/>
      <c r="O271" s="295"/>
      <c r="P271" s="295"/>
      <c r="Q271" s="296"/>
      <c r="R271" s="227"/>
      <c r="S271" s="228" t="e">
        <f>IF(C271="",NA(),MATCH($B271&amp;$C271,'Smelter Reference List'!$J:$J,0))</f>
        <v>#N/A</v>
      </c>
      <c r="T271" s="229"/>
      <c r="U271" s="229">
        <f t="shared" ca="1" si="10"/>
        <v>0</v>
      </c>
      <c r="V271" s="229"/>
      <c r="W271" s="229"/>
      <c r="Y271" s="223" t="str">
        <f t="shared" si="11"/>
        <v/>
      </c>
    </row>
    <row r="272" spans="1:25" s="223" customFormat="1" ht="20.25">
      <c r="A272" s="291"/>
      <c r="B272" s="292" t="str">
        <f>IF(LEN(A272)=0,"",INDEX('Smelter Reference List'!$A:$A,MATCH($A272,'Smelter Reference List'!$E:$E,0)))</f>
        <v/>
      </c>
      <c r="C272" s="298" t="str">
        <f>IF(LEN(A272)=0,"",INDEX('Smelter Reference List'!$C:$C,MATCH($A272,'Smelter Reference List'!$E:$E,0)))</f>
        <v/>
      </c>
      <c r="D272" s="292" t="str">
        <f ca="1">IF(ISERROR($S272),"",OFFSET('Smelter Reference List'!$C$4,$S272-4,0)&amp;"")</f>
        <v/>
      </c>
      <c r="E272" s="292" t="str">
        <f ca="1">IF(ISERROR($S272),"",OFFSET('Smelter Reference List'!$D$4,$S272-4,0)&amp;"")</f>
        <v/>
      </c>
      <c r="F272" s="292" t="str">
        <f ca="1">IF(ISERROR($S272),"",OFFSET('Smelter Reference List'!$E$4,$S272-4,0))</f>
        <v/>
      </c>
      <c r="G272" s="292" t="str">
        <f ca="1">IF(C272=$U$4,"Enter smelter details", IF(ISERROR($S272),"",OFFSET('Smelter Reference List'!$F$4,$S272-4,0)))</f>
        <v/>
      </c>
      <c r="H272" s="293" t="str">
        <f ca="1">IF(ISERROR($S272),"",OFFSET('Smelter Reference List'!$G$4,$S272-4,0))</f>
        <v/>
      </c>
      <c r="I272" s="294" t="str">
        <f ca="1">IF(ISERROR($S272),"",OFFSET('Smelter Reference List'!$H$4,$S272-4,0))</f>
        <v/>
      </c>
      <c r="J272" s="294" t="str">
        <f ca="1">IF(ISERROR($S272),"",OFFSET('Smelter Reference List'!$I$4,$S272-4,0))</f>
        <v/>
      </c>
      <c r="K272" s="295"/>
      <c r="L272" s="295"/>
      <c r="M272" s="295"/>
      <c r="N272" s="295"/>
      <c r="O272" s="295"/>
      <c r="P272" s="295"/>
      <c r="Q272" s="296"/>
      <c r="R272" s="227"/>
      <c r="S272" s="228" t="e">
        <f>IF(C272="",NA(),MATCH($B272&amp;$C272,'Smelter Reference List'!$J:$J,0))</f>
        <v>#N/A</v>
      </c>
      <c r="T272" s="229"/>
      <c r="U272" s="229">
        <f t="shared" ca="1" si="10"/>
        <v>0</v>
      </c>
      <c r="V272" s="229"/>
      <c r="W272" s="229"/>
      <c r="Y272" s="223" t="str">
        <f t="shared" si="11"/>
        <v/>
      </c>
    </row>
    <row r="273" spans="1:25" s="223" customFormat="1" ht="20.25">
      <c r="A273" s="291"/>
      <c r="B273" s="292" t="str">
        <f>IF(LEN(A273)=0,"",INDEX('Smelter Reference List'!$A:$A,MATCH($A273,'Smelter Reference List'!$E:$E,0)))</f>
        <v/>
      </c>
      <c r="C273" s="298" t="str">
        <f>IF(LEN(A273)=0,"",INDEX('Smelter Reference List'!$C:$C,MATCH($A273,'Smelter Reference List'!$E:$E,0)))</f>
        <v/>
      </c>
      <c r="D273" s="292" t="str">
        <f ca="1">IF(ISERROR($S273),"",OFFSET('Smelter Reference List'!$C$4,$S273-4,0)&amp;"")</f>
        <v/>
      </c>
      <c r="E273" s="292" t="str">
        <f ca="1">IF(ISERROR($S273),"",OFFSET('Smelter Reference List'!$D$4,$S273-4,0)&amp;"")</f>
        <v/>
      </c>
      <c r="F273" s="292" t="str">
        <f ca="1">IF(ISERROR($S273),"",OFFSET('Smelter Reference List'!$E$4,$S273-4,0))</f>
        <v/>
      </c>
      <c r="G273" s="292" t="str">
        <f ca="1">IF(C273=$U$4,"Enter smelter details", IF(ISERROR($S273),"",OFFSET('Smelter Reference List'!$F$4,$S273-4,0)))</f>
        <v/>
      </c>
      <c r="H273" s="293" t="str">
        <f ca="1">IF(ISERROR($S273),"",OFFSET('Smelter Reference List'!$G$4,$S273-4,0))</f>
        <v/>
      </c>
      <c r="I273" s="294" t="str">
        <f ca="1">IF(ISERROR($S273),"",OFFSET('Smelter Reference List'!$H$4,$S273-4,0))</f>
        <v/>
      </c>
      <c r="J273" s="294" t="str">
        <f ca="1">IF(ISERROR($S273),"",OFFSET('Smelter Reference List'!$I$4,$S273-4,0))</f>
        <v/>
      </c>
      <c r="K273" s="295"/>
      <c r="L273" s="295"/>
      <c r="M273" s="295"/>
      <c r="N273" s="295"/>
      <c r="O273" s="295"/>
      <c r="P273" s="295"/>
      <c r="Q273" s="296"/>
      <c r="R273" s="227"/>
      <c r="S273" s="228" t="e">
        <f>IF(C273="",NA(),MATCH($B273&amp;$C273,'Smelter Reference List'!$J:$J,0))</f>
        <v>#N/A</v>
      </c>
      <c r="T273" s="229"/>
      <c r="U273" s="229">
        <f t="shared" ca="1" si="10"/>
        <v>0</v>
      </c>
      <c r="V273" s="229"/>
      <c r="W273" s="229"/>
      <c r="Y273" s="223" t="str">
        <f t="shared" si="11"/>
        <v/>
      </c>
    </row>
    <row r="274" spans="1:25" s="223" customFormat="1" ht="20.25">
      <c r="A274" s="291"/>
      <c r="B274" s="292" t="str">
        <f>IF(LEN(A274)=0,"",INDEX('Smelter Reference List'!$A:$A,MATCH($A274,'Smelter Reference List'!$E:$E,0)))</f>
        <v/>
      </c>
      <c r="C274" s="298" t="str">
        <f>IF(LEN(A274)=0,"",INDEX('Smelter Reference List'!$C:$C,MATCH($A274,'Smelter Reference List'!$E:$E,0)))</f>
        <v/>
      </c>
      <c r="D274" s="292" t="str">
        <f ca="1">IF(ISERROR($S274),"",OFFSET('Smelter Reference List'!$C$4,$S274-4,0)&amp;"")</f>
        <v/>
      </c>
      <c r="E274" s="292" t="str">
        <f ca="1">IF(ISERROR($S274),"",OFFSET('Smelter Reference List'!$D$4,$S274-4,0)&amp;"")</f>
        <v/>
      </c>
      <c r="F274" s="292" t="str">
        <f ca="1">IF(ISERROR($S274),"",OFFSET('Smelter Reference List'!$E$4,$S274-4,0))</f>
        <v/>
      </c>
      <c r="G274" s="292" t="str">
        <f ca="1">IF(C274=$U$4,"Enter smelter details", IF(ISERROR($S274),"",OFFSET('Smelter Reference List'!$F$4,$S274-4,0)))</f>
        <v/>
      </c>
      <c r="H274" s="293" t="str">
        <f ca="1">IF(ISERROR($S274),"",OFFSET('Smelter Reference List'!$G$4,$S274-4,0))</f>
        <v/>
      </c>
      <c r="I274" s="294" t="str">
        <f ca="1">IF(ISERROR($S274),"",OFFSET('Smelter Reference List'!$H$4,$S274-4,0))</f>
        <v/>
      </c>
      <c r="J274" s="294" t="str">
        <f ca="1">IF(ISERROR($S274),"",OFFSET('Smelter Reference List'!$I$4,$S274-4,0))</f>
        <v/>
      </c>
      <c r="K274" s="295"/>
      <c r="L274" s="295"/>
      <c r="M274" s="295"/>
      <c r="N274" s="295"/>
      <c r="O274" s="295"/>
      <c r="P274" s="295"/>
      <c r="Q274" s="296"/>
      <c r="R274" s="227"/>
      <c r="S274" s="228" t="e">
        <f>IF(C274="",NA(),MATCH($B274&amp;$C274,'Smelter Reference List'!$J:$J,0))</f>
        <v>#N/A</v>
      </c>
      <c r="T274" s="229"/>
      <c r="U274" s="229">
        <f t="shared" ca="1" si="10"/>
        <v>0</v>
      </c>
      <c r="V274" s="229"/>
      <c r="W274" s="229"/>
      <c r="Y274" s="223" t="str">
        <f t="shared" si="11"/>
        <v/>
      </c>
    </row>
    <row r="275" spans="1:25" s="223" customFormat="1" ht="20.25">
      <c r="A275" s="291"/>
      <c r="B275" s="292" t="str">
        <f>IF(LEN(A275)=0,"",INDEX('Smelter Reference List'!$A:$A,MATCH($A275,'Smelter Reference List'!$E:$E,0)))</f>
        <v/>
      </c>
      <c r="C275" s="298" t="str">
        <f>IF(LEN(A275)=0,"",INDEX('Smelter Reference List'!$C:$C,MATCH($A275,'Smelter Reference List'!$E:$E,0)))</f>
        <v/>
      </c>
      <c r="D275" s="292" t="str">
        <f ca="1">IF(ISERROR($S275),"",OFFSET('Smelter Reference List'!$C$4,$S275-4,0)&amp;"")</f>
        <v/>
      </c>
      <c r="E275" s="292" t="str">
        <f ca="1">IF(ISERROR($S275),"",OFFSET('Smelter Reference List'!$D$4,$S275-4,0)&amp;"")</f>
        <v/>
      </c>
      <c r="F275" s="292" t="str">
        <f ca="1">IF(ISERROR($S275),"",OFFSET('Smelter Reference List'!$E$4,$S275-4,0))</f>
        <v/>
      </c>
      <c r="G275" s="292" t="str">
        <f ca="1">IF(C275=$U$4,"Enter smelter details", IF(ISERROR($S275),"",OFFSET('Smelter Reference List'!$F$4,$S275-4,0)))</f>
        <v/>
      </c>
      <c r="H275" s="293" t="str">
        <f ca="1">IF(ISERROR($S275),"",OFFSET('Smelter Reference List'!$G$4,$S275-4,0))</f>
        <v/>
      </c>
      <c r="I275" s="294" t="str">
        <f ca="1">IF(ISERROR($S275),"",OFFSET('Smelter Reference List'!$H$4,$S275-4,0))</f>
        <v/>
      </c>
      <c r="J275" s="294" t="str">
        <f ca="1">IF(ISERROR($S275),"",OFFSET('Smelter Reference List'!$I$4,$S275-4,0))</f>
        <v/>
      </c>
      <c r="K275" s="295"/>
      <c r="L275" s="295"/>
      <c r="M275" s="295"/>
      <c r="N275" s="295"/>
      <c r="O275" s="295"/>
      <c r="P275" s="295"/>
      <c r="Q275" s="296"/>
      <c r="R275" s="227"/>
      <c r="S275" s="228" t="e">
        <f>IF(C275="",NA(),MATCH($B275&amp;$C275,'Smelter Reference List'!$J:$J,0))</f>
        <v>#N/A</v>
      </c>
      <c r="T275" s="229"/>
      <c r="U275" s="229">
        <f t="shared" ca="1" si="10"/>
        <v>0</v>
      </c>
      <c r="V275" s="229"/>
      <c r="W275" s="229"/>
      <c r="Y275" s="223" t="str">
        <f t="shared" si="11"/>
        <v/>
      </c>
    </row>
    <row r="276" spans="1:25" s="223" customFormat="1" ht="20.25">
      <c r="A276" s="291"/>
      <c r="B276" s="292" t="str">
        <f>IF(LEN(A276)=0,"",INDEX('Smelter Reference List'!$A:$A,MATCH($A276,'Smelter Reference List'!$E:$E,0)))</f>
        <v/>
      </c>
      <c r="C276" s="298" t="str">
        <f>IF(LEN(A276)=0,"",INDEX('Smelter Reference List'!$C:$C,MATCH($A276,'Smelter Reference List'!$E:$E,0)))</f>
        <v/>
      </c>
      <c r="D276" s="292" t="str">
        <f ca="1">IF(ISERROR($S276),"",OFFSET('Smelter Reference List'!$C$4,$S276-4,0)&amp;"")</f>
        <v/>
      </c>
      <c r="E276" s="292" t="str">
        <f ca="1">IF(ISERROR($S276),"",OFFSET('Smelter Reference List'!$D$4,$S276-4,0)&amp;"")</f>
        <v/>
      </c>
      <c r="F276" s="292" t="str">
        <f ca="1">IF(ISERROR($S276),"",OFFSET('Smelter Reference List'!$E$4,$S276-4,0))</f>
        <v/>
      </c>
      <c r="G276" s="292" t="str">
        <f ca="1">IF(C276=$U$4,"Enter smelter details", IF(ISERROR($S276),"",OFFSET('Smelter Reference List'!$F$4,$S276-4,0)))</f>
        <v/>
      </c>
      <c r="H276" s="293" t="str">
        <f ca="1">IF(ISERROR($S276),"",OFFSET('Smelter Reference List'!$G$4,$S276-4,0))</f>
        <v/>
      </c>
      <c r="I276" s="294" t="str">
        <f ca="1">IF(ISERROR($S276),"",OFFSET('Smelter Reference List'!$H$4,$S276-4,0))</f>
        <v/>
      </c>
      <c r="J276" s="294" t="str">
        <f ca="1">IF(ISERROR($S276),"",OFFSET('Smelter Reference List'!$I$4,$S276-4,0))</f>
        <v/>
      </c>
      <c r="K276" s="295"/>
      <c r="L276" s="295"/>
      <c r="M276" s="295"/>
      <c r="N276" s="295"/>
      <c r="O276" s="295"/>
      <c r="P276" s="295"/>
      <c r="Q276" s="296"/>
      <c r="R276" s="227"/>
      <c r="S276" s="228" t="e">
        <f>IF(C276="",NA(),MATCH($B276&amp;$C276,'Smelter Reference List'!$J:$J,0))</f>
        <v>#N/A</v>
      </c>
      <c r="T276" s="229"/>
      <c r="U276" s="229">
        <f t="shared" ca="1" si="10"/>
        <v>0</v>
      </c>
      <c r="V276" s="229"/>
      <c r="W276" s="229"/>
      <c r="Y276" s="223" t="str">
        <f t="shared" si="11"/>
        <v/>
      </c>
    </row>
    <row r="277" spans="1:25" s="223" customFormat="1" ht="20.25">
      <c r="A277" s="291"/>
      <c r="B277" s="292" t="str">
        <f>IF(LEN(A277)=0,"",INDEX('Smelter Reference List'!$A:$A,MATCH($A277,'Smelter Reference List'!$E:$E,0)))</f>
        <v/>
      </c>
      <c r="C277" s="298" t="str">
        <f>IF(LEN(A277)=0,"",INDEX('Smelter Reference List'!$C:$C,MATCH($A277,'Smelter Reference List'!$E:$E,0)))</f>
        <v/>
      </c>
      <c r="D277" s="292" t="str">
        <f ca="1">IF(ISERROR($S277),"",OFFSET('Smelter Reference List'!$C$4,$S277-4,0)&amp;"")</f>
        <v/>
      </c>
      <c r="E277" s="292" t="str">
        <f ca="1">IF(ISERROR($S277),"",OFFSET('Smelter Reference List'!$D$4,$S277-4,0)&amp;"")</f>
        <v/>
      </c>
      <c r="F277" s="292" t="str">
        <f ca="1">IF(ISERROR($S277),"",OFFSET('Smelter Reference List'!$E$4,$S277-4,0))</f>
        <v/>
      </c>
      <c r="G277" s="292" t="str">
        <f ca="1">IF(C277=$U$4,"Enter smelter details", IF(ISERROR($S277),"",OFFSET('Smelter Reference List'!$F$4,$S277-4,0)))</f>
        <v/>
      </c>
      <c r="H277" s="293" t="str">
        <f ca="1">IF(ISERROR($S277),"",OFFSET('Smelter Reference List'!$G$4,$S277-4,0))</f>
        <v/>
      </c>
      <c r="I277" s="294" t="str">
        <f ca="1">IF(ISERROR($S277),"",OFFSET('Smelter Reference List'!$H$4,$S277-4,0))</f>
        <v/>
      </c>
      <c r="J277" s="294" t="str">
        <f ca="1">IF(ISERROR($S277),"",OFFSET('Smelter Reference List'!$I$4,$S277-4,0))</f>
        <v/>
      </c>
      <c r="K277" s="295"/>
      <c r="L277" s="295"/>
      <c r="M277" s="295"/>
      <c r="N277" s="295"/>
      <c r="O277" s="295"/>
      <c r="P277" s="295"/>
      <c r="Q277" s="296"/>
      <c r="R277" s="227"/>
      <c r="S277" s="228" t="e">
        <f>IF(C277="",NA(),MATCH($B277&amp;$C277,'Smelter Reference List'!$J:$J,0))</f>
        <v>#N/A</v>
      </c>
      <c r="T277" s="229"/>
      <c r="U277" s="229">
        <f t="shared" ca="1" si="10"/>
        <v>0</v>
      </c>
      <c r="V277" s="229"/>
      <c r="W277" s="229"/>
      <c r="Y277" s="223" t="str">
        <f t="shared" si="11"/>
        <v/>
      </c>
    </row>
    <row r="278" spans="1:25" s="223" customFormat="1" ht="20.25">
      <c r="A278" s="291"/>
      <c r="B278" s="292" t="str">
        <f>IF(LEN(A278)=0,"",INDEX('Smelter Reference List'!$A:$A,MATCH($A278,'Smelter Reference List'!$E:$E,0)))</f>
        <v/>
      </c>
      <c r="C278" s="298" t="str">
        <f>IF(LEN(A278)=0,"",INDEX('Smelter Reference List'!$C:$C,MATCH($A278,'Smelter Reference List'!$E:$E,0)))</f>
        <v/>
      </c>
      <c r="D278" s="292" t="str">
        <f ca="1">IF(ISERROR($S278),"",OFFSET('Smelter Reference List'!$C$4,$S278-4,0)&amp;"")</f>
        <v/>
      </c>
      <c r="E278" s="292" t="str">
        <f ca="1">IF(ISERROR($S278),"",OFFSET('Smelter Reference List'!$D$4,$S278-4,0)&amp;"")</f>
        <v/>
      </c>
      <c r="F278" s="292" t="str">
        <f ca="1">IF(ISERROR($S278),"",OFFSET('Smelter Reference List'!$E$4,$S278-4,0))</f>
        <v/>
      </c>
      <c r="G278" s="292" t="str">
        <f ca="1">IF(C278=$U$4,"Enter smelter details", IF(ISERROR($S278),"",OFFSET('Smelter Reference List'!$F$4,$S278-4,0)))</f>
        <v/>
      </c>
      <c r="H278" s="293" t="str">
        <f ca="1">IF(ISERROR($S278),"",OFFSET('Smelter Reference List'!$G$4,$S278-4,0))</f>
        <v/>
      </c>
      <c r="I278" s="294" t="str">
        <f ca="1">IF(ISERROR($S278),"",OFFSET('Smelter Reference List'!$H$4,$S278-4,0))</f>
        <v/>
      </c>
      <c r="J278" s="294" t="str">
        <f ca="1">IF(ISERROR($S278),"",OFFSET('Smelter Reference List'!$I$4,$S278-4,0))</f>
        <v/>
      </c>
      <c r="K278" s="295"/>
      <c r="L278" s="295"/>
      <c r="M278" s="295"/>
      <c r="N278" s="295"/>
      <c r="O278" s="295"/>
      <c r="P278" s="295"/>
      <c r="Q278" s="296"/>
      <c r="R278" s="227"/>
      <c r="S278" s="228" t="e">
        <f>IF(C278="",NA(),MATCH($B278&amp;$C278,'Smelter Reference List'!$J:$J,0))</f>
        <v>#N/A</v>
      </c>
      <c r="T278" s="229"/>
      <c r="U278" s="229">
        <f t="shared" ca="1" si="10"/>
        <v>0</v>
      </c>
      <c r="V278" s="229"/>
      <c r="W278" s="229"/>
      <c r="Y278" s="223" t="str">
        <f t="shared" si="11"/>
        <v/>
      </c>
    </row>
    <row r="279" spans="1:25" s="223" customFormat="1" ht="20.25">
      <c r="A279" s="291"/>
      <c r="B279" s="292" t="str">
        <f>IF(LEN(A279)=0,"",INDEX('Smelter Reference List'!$A:$A,MATCH($A279,'Smelter Reference List'!$E:$E,0)))</f>
        <v/>
      </c>
      <c r="C279" s="298" t="str">
        <f>IF(LEN(A279)=0,"",INDEX('Smelter Reference List'!$C:$C,MATCH($A279,'Smelter Reference List'!$E:$E,0)))</f>
        <v/>
      </c>
      <c r="D279" s="292" t="str">
        <f ca="1">IF(ISERROR($S279),"",OFFSET('Smelter Reference List'!$C$4,$S279-4,0)&amp;"")</f>
        <v/>
      </c>
      <c r="E279" s="292" t="str">
        <f ca="1">IF(ISERROR($S279),"",OFFSET('Smelter Reference List'!$D$4,$S279-4,0)&amp;"")</f>
        <v/>
      </c>
      <c r="F279" s="292" t="str">
        <f ca="1">IF(ISERROR($S279),"",OFFSET('Smelter Reference List'!$E$4,$S279-4,0))</f>
        <v/>
      </c>
      <c r="G279" s="292" t="str">
        <f ca="1">IF(C279=$U$4,"Enter smelter details", IF(ISERROR($S279),"",OFFSET('Smelter Reference List'!$F$4,$S279-4,0)))</f>
        <v/>
      </c>
      <c r="H279" s="293" t="str">
        <f ca="1">IF(ISERROR($S279),"",OFFSET('Smelter Reference List'!$G$4,$S279-4,0))</f>
        <v/>
      </c>
      <c r="I279" s="294" t="str">
        <f ca="1">IF(ISERROR($S279),"",OFFSET('Smelter Reference List'!$H$4,$S279-4,0))</f>
        <v/>
      </c>
      <c r="J279" s="294" t="str">
        <f ca="1">IF(ISERROR($S279),"",OFFSET('Smelter Reference List'!$I$4,$S279-4,0))</f>
        <v/>
      </c>
      <c r="K279" s="295"/>
      <c r="L279" s="295"/>
      <c r="M279" s="295"/>
      <c r="N279" s="295"/>
      <c r="O279" s="295"/>
      <c r="P279" s="295"/>
      <c r="Q279" s="296"/>
      <c r="R279" s="227"/>
      <c r="S279" s="228" t="e">
        <f>IF(C279="",NA(),MATCH($B279&amp;$C279,'Smelter Reference List'!$J:$J,0))</f>
        <v>#N/A</v>
      </c>
      <c r="T279" s="229"/>
      <c r="U279" s="229">
        <f t="shared" ca="1" si="10"/>
        <v>0</v>
      </c>
      <c r="V279" s="229"/>
      <c r="W279" s="229"/>
      <c r="Y279" s="223" t="str">
        <f t="shared" si="11"/>
        <v/>
      </c>
    </row>
    <row r="280" spans="1:25" s="223" customFormat="1" ht="20.25">
      <c r="A280" s="291"/>
      <c r="B280" s="292" t="str">
        <f>IF(LEN(A280)=0,"",INDEX('Smelter Reference List'!$A:$A,MATCH($A280,'Smelter Reference List'!$E:$E,0)))</f>
        <v/>
      </c>
      <c r="C280" s="298" t="str">
        <f>IF(LEN(A280)=0,"",INDEX('Smelter Reference List'!$C:$C,MATCH($A280,'Smelter Reference List'!$E:$E,0)))</f>
        <v/>
      </c>
      <c r="D280" s="292" t="str">
        <f ca="1">IF(ISERROR($S280),"",OFFSET('Smelter Reference List'!$C$4,$S280-4,0)&amp;"")</f>
        <v/>
      </c>
      <c r="E280" s="292" t="str">
        <f ca="1">IF(ISERROR($S280),"",OFFSET('Smelter Reference List'!$D$4,$S280-4,0)&amp;"")</f>
        <v/>
      </c>
      <c r="F280" s="292" t="str">
        <f ca="1">IF(ISERROR($S280),"",OFFSET('Smelter Reference List'!$E$4,$S280-4,0))</f>
        <v/>
      </c>
      <c r="G280" s="292" t="str">
        <f ca="1">IF(C280=$U$4,"Enter smelter details", IF(ISERROR($S280),"",OFFSET('Smelter Reference List'!$F$4,$S280-4,0)))</f>
        <v/>
      </c>
      <c r="H280" s="293" t="str">
        <f ca="1">IF(ISERROR($S280),"",OFFSET('Smelter Reference List'!$G$4,$S280-4,0))</f>
        <v/>
      </c>
      <c r="I280" s="294" t="str">
        <f ca="1">IF(ISERROR($S280),"",OFFSET('Smelter Reference List'!$H$4,$S280-4,0))</f>
        <v/>
      </c>
      <c r="J280" s="294" t="str">
        <f ca="1">IF(ISERROR($S280),"",OFFSET('Smelter Reference List'!$I$4,$S280-4,0))</f>
        <v/>
      </c>
      <c r="K280" s="295"/>
      <c r="L280" s="295"/>
      <c r="M280" s="295"/>
      <c r="N280" s="295"/>
      <c r="O280" s="295"/>
      <c r="P280" s="295"/>
      <c r="Q280" s="296"/>
      <c r="R280" s="227"/>
      <c r="S280" s="228" t="e">
        <f>IF(C280="",NA(),MATCH($B280&amp;$C280,'Smelter Reference List'!$J:$J,0))</f>
        <v>#N/A</v>
      </c>
      <c r="T280" s="229"/>
      <c r="U280" s="229">
        <f t="shared" ca="1" si="10"/>
        <v>0</v>
      </c>
      <c r="V280" s="229"/>
      <c r="W280" s="229"/>
      <c r="Y280" s="223" t="str">
        <f t="shared" si="11"/>
        <v/>
      </c>
    </row>
    <row r="281" spans="1:25" s="223" customFormat="1" ht="20.25">
      <c r="A281" s="291"/>
      <c r="B281" s="292" t="str">
        <f>IF(LEN(A281)=0,"",INDEX('Smelter Reference List'!$A:$A,MATCH($A281,'Smelter Reference List'!$E:$E,0)))</f>
        <v/>
      </c>
      <c r="C281" s="298" t="str">
        <f>IF(LEN(A281)=0,"",INDEX('Smelter Reference List'!$C:$C,MATCH($A281,'Smelter Reference List'!$E:$E,0)))</f>
        <v/>
      </c>
      <c r="D281" s="292" t="str">
        <f ca="1">IF(ISERROR($S281),"",OFFSET('Smelter Reference List'!$C$4,$S281-4,0)&amp;"")</f>
        <v/>
      </c>
      <c r="E281" s="292" t="str">
        <f ca="1">IF(ISERROR($S281),"",OFFSET('Smelter Reference List'!$D$4,$S281-4,0)&amp;"")</f>
        <v/>
      </c>
      <c r="F281" s="292" t="str">
        <f ca="1">IF(ISERROR($S281),"",OFFSET('Smelter Reference List'!$E$4,$S281-4,0))</f>
        <v/>
      </c>
      <c r="G281" s="292" t="str">
        <f ca="1">IF(C281=$U$4,"Enter smelter details", IF(ISERROR($S281),"",OFFSET('Smelter Reference List'!$F$4,$S281-4,0)))</f>
        <v/>
      </c>
      <c r="H281" s="293" t="str">
        <f ca="1">IF(ISERROR($S281),"",OFFSET('Smelter Reference List'!$G$4,$S281-4,0))</f>
        <v/>
      </c>
      <c r="I281" s="294" t="str">
        <f ca="1">IF(ISERROR($S281),"",OFFSET('Smelter Reference List'!$H$4,$S281-4,0))</f>
        <v/>
      </c>
      <c r="J281" s="294" t="str">
        <f ca="1">IF(ISERROR($S281),"",OFFSET('Smelter Reference List'!$I$4,$S281-4,0))</f>
        <v/>
      </c>
      <c r="K281" s="295"/>
      <c r="L281" s="295"/>
      <c r="M281" s="295"/>
      <c r="N281" s="295"/>
      <c r="O281" s="295"/>
      <c r="P281" s="295"/>
      <c r="Q281" s="296"/>
      <c r="R281" s="227"/>
      <c r="S281" s="228" t="e">
        <f>IF(C281="",NA(),MATCH($B281&amp;$C281,'Smelter Reference List'!$J:$J,0))</f>
        <v>#N/A</v>
      </c>
      <c r="T281" s="229"/>
      <c r="U281" s="229">
        <f t="shared" ca="1" si="10"/>
        <v>0</v>
      </c>
      <c r="V281" s="229"/>
      <c r="W281" s="229"/>
      <c r="Y281" s="223" t="str">
        <f t="shared" si="11"/>
        <v/>
      </c>
    </row>
    <row r="282" spans="1:25" s="223" customFormat="1" ht="20.25">
      <c r="A282" s="291"/>
      <c r="B282" s="292" t="str">
        <f>IF(LEN(A282)=0,"",INDEX('Smelter Reference List'!$A:$A,MATCH($A282,'Smelter Reference List'!$E:$E,0)))</f>
        <v/>
      </c>
      <c r="C282" s="298" t="str">
        <f>IF(LEN(A282)=0,"",INDEX('Smelter Reference List'!$C:$C,MATCH($A282,'Smelter Reference List'!$E:$E,0)))</f>
        <v/>
      </c>
      <c r="D282" s="292" t="str">
        <f ca="1">IF(ISERROR($S282),"",OFFSET('Smelter Reference List'!$C$4,$S282-4,0)&amp;"")</f>
        <v/>
      </c>
      <c r="E282" s="292" t="str">
        <f ca="1">IF(ISERROR($S282),"",OFFSET('Smelter Reference List'!$D$4,$S282-4,0)&amp;"")</f>
        <v/>
      </c>
      <c r="F282" s="292" t="str">
        <f ca="1">IF(ISERROR($S282),"",OFFSET('Smelter Reference List'!$E$4,$S282-4,0))</f>
        <v/>
      </c>
      <c r="G282" s="292" t="str">
        <f ca="1">IF(C282=$U$4,"Enter smelter details", IF(ISERROR($S282),"",OFFSET('Smelter Reference List'!$F$4,$S282-4,0)))</f>
        <v/>
      </c>
      <c r="H282" s="293" t="str">
        <f ca="1">IF(ISERROR($S282),"",OFFSET('Smelter Reference List'!$G$4,$S282-4,0))</f>
        <v/>
      </c>
      <c r="I282" s="294" t="str">
        <f ca="1">IF(ISERROR($S282),"",OFFSET('Smelter Reference List'!$H$4,$S282-4,0))</f>
        <v/>
      </c>
      <c r="J282" s="294" t="str">
        <f ca="1">IF(ISERROR($S282),"",OFFSET('Smelter Reference List'!$I$4,$S282-4,0))</f>
        <v/>
      </c>
      <c r="K282" s="295"/>
      <c r="L282" s="295"/>
      <c r="M282" s="295"/>
      <c r="N282" s="295"/>
      <c r="O282" s="295"/>
      <c r="P282" s="295"/>
      <c r="Q282" s="296"/>
      <c r="R282" s="227"/>
      <c r="S282" s="228" t="e">
        <f>IF(C282="",NA(),MATCH($B282&amp;$C282,'Smelter Reference List'!$J:$J,0))</f>
        <v>#N/A</v>
      </c>
      <c r="T282" s="229"/>
      <c r="U282" s="229">
        <f t="shared" ca="1" si="10"/>
        <v>0</v>
      </c>
      <c r="V282" s="229"/>
      <c r="W282" s="229"/>
      <c r="Y282" s="223" t="str">
        <f t="shared" si="11"/>
        <v/>
      </c>
    </row>
    <row r="283" spans="1:25" s="223" customFormat="1" ht="20.25">
      <c r="A283" s="291"/>
      <c r="B283" s="292" t="str">
        <f>IF(LEN(A283)=0,"",INDEX('Smelter Reference List'!$A:$A,MATCH($A283,'Smelter Reference List'!$E:$E,0)))</f>
        <v/>
      </c>
      <c r="C283" s="298" t="str">
        <f>IF(LEN(A283)=0,"",INDEX('Smelter Reference List'!$C:$C,MATCH($A283,'Smelter Reference List'!$E:$E,0)))</f>
        <v/>
      </c>
      <c r="D283" s="292" t="str">
        <f ca="1">IF(ISERROR($S283),"",OFFSET('Smelter Reference List'!$C$4,$S283-4,0)&amp;"")</f>
        <v/>
      </c>
      <c r="E283" s="292" t="str">
        <f ca="1">IF(ISERROR($S283),"",OFFSET('Smelter Reference List'!$D$4,$S283-4,0)&amp;"")</f>
        <v/>
      </c>
      <c r="F283" s="292" t="str">
        <f ca="1">IF(ISERROR($S283),"",OFFSET('Smelter Reference List'!$E$4,$S283-4,0))</f>
        <v/>
      </c>
      <c r="G283" s="292" t="str">
        <f ca="1">IF(C283=$U$4,"Enter smelter details", IF(ISERROR($S283),"",OFFSET('Smelter Reference List'!$F$4,$S283-4,0)))</f>
        <v/>
      </c>
      <c r="H283" s="293" t="str">
        <f ca="1">IF(ISERROR($S283),"",OFFSET('Smelter Reference List'!$G$4,$S283-4,0))</f>
        <v/>
      </c>
      <c r="I283" s="294" t="str">
        <f ca="1">IF(ISERROR($S283),"",OFFSET('Smelter Reference List'!$H$4,$S283-4,0))</f>
        <v/>
      </c>
      <c r="J283" s="294" t="str">
        <f ca="1">IF(ISERROR($S283),"",OFFSET('Smelter Reference List'!$I$4,$S283-4,0))</f>
        <v/>
      </c>
      <c r="K283" s="295"/>
      <c r="L283" s="295"/>
      <c r="M283" s="295"/>
      <c r="N283" s="295"/>
      <c r="O283" s="295"/>
      <c r="P283" s="295"/>
      <c r="Q283" s="296"/>
      <c r="R283" s="227"/>
      <c r="S283" s="228" t="e">
        <f>IF(C283="",NA(),MATCH($B283&amp;$C283,'Smelter Reference List'!$J:$J,0))</f>
        <v>#N/A</v>
      </c>
      <c r="T283" s="229"/>
      <c r="U283" s="229">
        <f t="shared" ca="1" si="10"/>
        <v>0</v>
      </c>
      <c r="V283" s="229"/>
      <c r="W283" s="229"/>
      <c r="Y283" s="223" t="str">
        <f t="shared" si="11"/>
        <v/>
      </c>
    </row>
    <row r="284" spans="1:25" s="223" customFormat="1" ht="20.25">
      <c r="A284" s="291"/>
      <c r="B284" s="292" t="str">
        <f>IF(LEN(A284)=0,"",INDEX('Smelter Reference List'!$A:$A,MATCH($A284,'Smelter Reference List'!$E:$E,0)))</f>
        <v/>
      </c>
      <c r="C284" s="298" t="str">
        <f>IF(LEN(A284)=0,"",INDEX('Smelter Reference List'!$C:$C,MATCH($A284,'Smelter Reference List'!$E:$E,0)))</f>
        <v/>
      </c>
      <c r="D284" s="292" t="str">
        <f ca="1">IF(ISERROR($S284),"",OFFSET('Smelter Reference List'!$C$4,$S284-4,0)&amp;"")</f>
        <v/>
      </c>
      <c r="E284" s="292" t="str">
        <f ca="1">IF(ISERROR($S284),"",OFFSET('Smelter Reference List'!$D$4,$S284-4,0)&amp;"")</f>
        <v/>
      </c>
      <c r="F284" s="292" t="str">
        <f ca="1">IF(ISERROR($S284),"",OFFSET('Smelter Reference List'!$E$4,$S284-4,0))</f>
        <v/>
      </c>
      <c r="G284" s="292" t="str">
        <f ca="1">IF(C284=$U$4,"Enter smelter details", IF(ISERROR($S284),"",OFFSET('Smelter Reference List'!$F$4,$S284-4,0)))</f>
        <v/>
      </c>
      <c r="H284" s="293" t="str">
        <f ca="1">IF(ISERROR($S284),"",OFFSET('Smelter Reference List'!$G$4,$S284-4,0))</f>
        <v/>
      </c>
      <c r="I284" s="294" t="str">
        <f ca="1">IF(ISERROR($S284),"",OFFSET('Smelter Reference List'!$H$4,$S284-4,0))</f>
        <v/>
      </c>
      <c r="J284" s="294" t="str">
        <f ca="1">IF(ISERROR($S284),"",OFFSET('Smelter Reference List'!$I$4,$S284-4,0))</f>
        <v/>
      </c>
      <c r="K284" s="295"/>
      <c r="L284" s="295"/>
      <c r="M284" s="295"/>
      <c r="N284" s="295"/>
      <c r="O284" s="295"/>
      <c r="P284" s="295"/>
      <c r="Q284" s="296"/>
      <c r="R284" s="227"/>
      <c r="S284" s="228" t="e">
        <f>IF(C284="",NA(),MATCH($B284&amp;$C284,'Smelter Reference List'!$J:$J,0))</f>
        <v>#N/A</v>
      </c>
      <c r="T284" s="229"/>
      <c r="U284" s="229">
        <f t="shared" ca="1" si="10"/>
        <v>0</v>
      </c>
      <c r="V284" s="229"/>
      <c r="W284" s="229"/>
      <c r="Y284" s="223" t="str">
        <f t="shared" si="11"/>
        <v/>
      </c>
    </row>
    <row r="285" spans="1:25" s="223" customFormat="1" ht="20.25">
      <c r="A285" s="291"/>
      <c r="B285" s="292" t="str">
        <f>IF(LEN(A285)=0,"",INDEX('Smelter Reference List'!$A:$A,MATCH($A285,'Smelter Reference List'!$E:$E,0)))</f>
        <v/>
      </c>
      <c r="C285" s="298" t="str">
        <f>IF(LEN(A285)=0,"",INDEX('Smelter Reference List'!$C:$C,MATCH($A285,'Smelter Reference List'!$E:$E,0)))</f>
        <v/>
      </c>
      <c r="D285" s="292" t="str">
        <f ca="1">IF(ISERROR($S285),"",OFFSET('Smelter Reference List'!$C$4,$S285-4,0)&amp;"")</f>
        <v/>
      </c>
      <c r="E285" s="292" t="str">
        <f ca="1">IF(ISERROR($S285),"",OFFSET('Smelter Reference List'!$D$4,$S285-4,0)&amp;"")</f>
        <v/>
      </c>
      <c r="F285" s="292" t="str">
        <f ca="1">IF(ISERROR($S285),"",OFFSET('Smelter Reference List'!$E$4,$S285-4,0))</f>
        <v/>
      </c>
      <c r="G285" s="292" t="str">
        <f ca="1">IF(C285=$U$4,"Enter smelter details", IF(ISERROR($S285),"",OFFSET('Smelter Reference List'!$F$4,$S285-4,0)))</f>
        <v/>
      </c>
      <c r="H285" s="293" t="str">
        <f ca="1">IF(ISERROR($S285),"",OFFSET('Smelter Reference List'!$G$4,$S285-4,0))</f>
        <v/>
      </c>
      <c r="I285" s="294" t="str">
        <f ca="1">IF(ISERROR($S285),"",OFFSET('Smelter Reference List'!$H$4,$S285-4,0))</f>
        <v/>
      </c>
      <c r="J285" s="294" t="str">
        <f ca="1">IF(ISERROR($S285),"",OFFSET('Smelter Reference List'!$I$4,$S285-4,0))</f>
        <v/>
      </c>
      <c r="K285" s="295"/>
      <c r="L285" s="295"/>
      <c r="M285" s="295"/>
      <c r="N285" s="295"/>
      <c r="O285" s="295"/>
      <c r="P285" s="295"/>
      <c r="Q285" s="296"/>
      <c r="R285" s="227"/>
      <c r="S285" s="228" t="e">
        <f>IF(C285="",NA(),MATCH($B285&amp;$C285,'Smelter Reference List'!$J:$J,0))</f>
        <v>#N/A</v>
      </c>
      <c r="T285" s="229"/>
      <c r="U285" s="229">
        <f t="shared" ca="1" si="10"/>
        <v>0</v>
      </c>
      <c r="V285" s="229"/>
      <c r="W285" s="229"/>
      <c r="Y285" s="223" t="str">
        <f t="shared" si="11"/>
        <v/>
      </c>
    </row>
    <row r="286" spans="1:25" s="223" customFormat="1" ht="20.25">
      <c r="A286" s="291"/>
      <c r="B286" s="292" t="str">
        <f>IF(LEN(A286)=0,"",INDEX('Smelter Reference List'!$A:$A,MATCH($A286,'Smelter Reference List'!$E:$E,0)))</f>
        <v/>
      </c>
      <c r="C286" s="298" t="str">
        <f>IF(LEN(A286)=0,"",INDEX('Smelter Reference List'!$C:$C,MATCH($A286,'Smelter Reference List'!$E:$E,0)))</f>
        <v/>
      </c>
      <c r="D286" s="292" t="str">
        <f ca="1">IF(ISERROR($S286),"",OFFSET('Smelter Reference List'!$C$4,$S286-4,0)&amp;"")</f>
        <v/>
      </c>
      <c r="E286" s="292" t="str">
        <f ca="1">IF(ISERROR($S286),"",OFFSET('Smelter Reference List'!$D$4,$S286-4,0)&amp;"")</f>
        <v/>
      </c>
      <c r="F286" s="292" t="str">
        <f ca="1">IF(ISERROR($S286),"",OFFSET('Smelter Reference List'!$E$4,$S286-4,0))</f>
        <v/>
      </c>
      <c r="G286" s="292" t="str">
        <f ca="1">IF(C286=$U$4,"Enter smelter details", IF(ISERROR($S286),"",OFFSET('Smelter Reference List'!$F$4,$S286-4,0)))</f>
        <v/>
      </c>
      <c r="H286" s="293" t="str">
        <f ca="1">IF(ISERROR($S286),"",OFFSET('Smelter Reference List'!$G$4,$S286-4,0))</f>
        <v/>
      </c>
      <c r="I286" s="294" t="str">
        <f ca="1">IF(ISERROR($S286),"",OFFSET('Smelter Reference List'!$H$4,$S286-4,0))</f>
        <v/>
      </c>
      <c r="J286" s="294" t="str">
        <f ca="1">IF(ISERROR($S286),"",OFFSET('Smelter Reference List'!$I$4,$S286-4,0))</f>
        <v/>
      </c>
      <c r="K286" s="295"/>
      <c r="L286" s="295"/>
      <c r="M286" s="295"/>
      <c r="N286" s="295"/>
      <c r="O286" s="295"/>
      <c r="P286" s="295"/>
      <c r="Q286" s="296"/>
      <c r="R286" s="227"/>
      <c r="S286" s="228" t="e">
        <f>IF(C286="",NA(),MATCH($B286&amp;$C286,'Smelter Reference List'!$J:$J,0))</f>
        <v>#N/A</v>
      </c>
      <c r="T286" s="229"/>
      <c r="U286" s="229">
        <f t="shared" ca="1" si="10"/>
        <v>0</v>
      </c>
      <c r="V286" s="229"/>
      <c r="W286" s="229"/>
      <c r="Y286" s="223" t="str">
        <f t="shared" si="11"/>
        <v/>
      </c>
    </row>
    <row r="287" spans="1:25" s="223" customFormat="1" ht="20.25">
      <c r="A287" s="291"/>
      <c r="B287" s="292" t="str">
        <f>IF(LEN(A287)=0,"",INDEX('Smelter Reference List'!$A:$A,MATCH($A287,'Smelter Reference List'!$E:$E,0)))</f>
        <v/>
      </c>
      <c r="C287" s="298" t="str">
        <f>IF(LEN(A287)=0,"",INDEX('Smelter Reference List'!$C:$C,MATCH($A287,'Smelter Reference List'!$E:$E,0)))</f>
        <v/>
      </c>
      <c r="D287" s="292" t="str">
        <f ca="1">IF(ISERROR($S287),"",OFFSET('Smelter Reference List'!$C$4,$S287-4,0)&amp;"")</f>
        <v/>
      </c>
      <c r="E287" s="292" t="str">
        <f ca="1">IF(ISERROR($S287),"",OFFSET('Smelter Reference List'!$D$4,$S287-4,0)&amp;"")</f>
        <v/>
      </c>
      <c r="F287" s="292" t="str">
        <f ca="1">IF(ISERROR($S287),"",OFFSET('Smelter Reference List'!$E$4,$S287-4,0))</f>
        <v/>
      </c>
      <c r="G287" s="292" t="str">
        <f ca="1">IF(C287=$U$4,"Enter smelter details", IF(ISERROR($S287),"",OFFSET('Smelter Reference List'!$F$4,$S287-4,0)))</f>
        <v/>
      </c>
      <c r="H287" s="293" t="str">
        <f ca="1">IF(ISERROR($S287),"",OFFSET('Smelter Reference List'!$G$4,$S287-4,0))</f>
        <v/>
      </c>
      <c r="I287" s="294" t="str">
        <f ca="1">IF(ISERROR($S287),"",OFFSET('Smelter Reference List'!$H$4,$S287-4,0))</f>
        <v/>
      </c>
      <c r="J287" s="294" t="str">
        <f ca="1">IF(ISERROR($S287),"",OFFSET('Smelter Reference List'!$I$4,$S287-4,0))</f>
        <v/>
      </c>
      <c r="K287" s="295"/>
      <c r="L287" s="295"/>
      <c r="M287" s="295"/>
      <c r="N287" s="295"/>
      <c r="O287" s="295"/>
      <c r="P287" s="295"/>
      <c r="Q287" s="296"/>
      <c r="R287" s="227"/>
      <c r="S287" s="228" t="e">
        <f>IF(C287="",NA(),MATCH($B287&amp;$C287,'Smelter Reference List'!$J:$J,0))</f>
        <v>#N/A</v>
      </c>
      <c r="T287" s="229"/>
      <c r="U287" s="229">
        <f t="shared" ca="1" si="10"/>
        <v>0</v>
      </c>
      <c r="V287" s="229"/>
      <c r="W287" s="229"/>
      <c r="Y287" s="223" t="str">
        <f t="shared" si="11"/>
        <v/>
      </c>
    </row>
    <row r="288" spans="1:25" s="223" customFormat="1" ht="20.25">
      <c r="A288" s="291"/>
      <c r="B288" s="292" t="str">
        <f>IF(LEN(A288)=0,"",INDEX('Smelter Reference List'!$A:$A,MATCH($A288,'Smelter Reference List'!$E:$E,0)))</f>
        <v/>
      </c>
      <c r="C288" s="298" t="str">
        <f>IF(LEN(A288)=0,"",INDEX('Smelter Reference List'!$C:$C,MATCH($A288,'Smelter Reference List'!$E:$E,0)))</f>
        <v/>
      </c>
      <c r="D288" s="292" t="str">
        <f ca="1">IF(ISERROR($S288),"",OFFSET('Smelter Reference List'!$C$4,$S288-4,0)&amp;"")</f>
        <v/>
      </c>
      <c r="E288" s="292" t="str">
        <f ca="1">IF(ISERROR($S288),"",OFFSET('Smelter Reference List'!$D$4,$S288-4,0)&amp;"")</f>
        <v/>
      </c>
      <c r="F288" s="292" t="str">
        <f ca="1">IF(ISERROR($S288),"",OFFSET('Smelter Reference List'!$E$4,$S288-4,0))</f>
        <v/>
      </c>
      <c r="G288" s="292" t="str">
        <f ca="1">IF(C288=$U$4,"Enter smelter details", IF(ISERROR($S288),"",OFFSET('Smelter Reference List'!$F$4,$S288-4,0)))</f>
        <v/>
      </c>
      <c r="H288" s="293" t="str">
        <f ca="1">IF(ISERROR($S288),"",OFFSET('Smelter Reference List'!$G$4,$S288-4,0))</f>
        <v/>
      </c>
      <c r="I288" s="294" t="str">
        <f ca="1">IF(ISERROR($S288),"",OFFSET('Smelter Reference List'!$H$4,$S288-4,0))</f>
        <v/>
      </c>
      <c r="J288" s="294" t="str">
        <f ca="1">IF(ISERROR($S288),"",OFFSET('Smelter Reference List'!$I$4,$S288-4,0))</f>
        <v/>
      </c>
      <c r="K288" s="295"/>
      <c r="L288" s="295"/>
      <c r="M288" s="295"/>
      <c r="N288" s="295"/>
      <c r="O288" s="295"/>
      <c r="P288" s="295"/>
      <c r="Q288" s="296"/>
      <c r="R288" s="227"/>
      <c r="S288" s="228" t="e">
        <f>IF(C288="",NA(),MATCH($B288&amp;$C288,'Smelter Reference List'!$J:$J,0))</f>
        <v>#N/A</v>
      </c>
      <c r="T288" s="229"/>
      <c r="U288" s="229">
        <f t="shared" ca="1" si="10"/>
        <v>0</v>
      </c>
      <c r="V288" s="229"/>
      <c r="W288" s="229"/>
      <c r="Y288" s="223" t="str">
        <f t="shared" si="11"/>
        <v/>
      </c>
    </row>
    <row r="289" spans="1:25" s="223" customFormat="1" ht="20.25">
      <c r="A289" s="291"/>
      <c r="B289" s="292" t="str">
        <f>IF(LEN(A289)=0,"",INDEX('Smelter Reference List'!$A:$A,MATCH($A289,'Smelter Reference List'!$E:$E,0)))</f>
        <v/>
      </c>
      <c r="C289" s="298" t="str">
        <f>IF(LEN(A289)=0,"",INDEX('Smelter Reference List'!$C:$C,MATCH($A289,'Smelter Reference List'!$E:$E,0)))</f>
        <v/>
      </c>
      <c r="D289" s="292" t="str">
        <f ca="1">IF(ISERROR($S289),"",OFFSET('Smelter Reference List'!$C$4,$S289-4,0)&amp;"")</f>
        <v/>
      </c>
      <c r="E289" s="292" t="str">
        <f ca="1">IF(ISERROR($S289),"",OFFSET('Smelter Reference List'!$D$4,$S289-4,0)&amp;"")</f>
        <v/>
      </c>
      <c r="F289" s="292" t="str">
        <f ca="1">IF(ISERROR($S289),"",OFFSET('Smelter Reference List'!$E$4,$S289-4,0))</f>
        <v/>
      </c>
      <c r="G289" s="292" t="str">
        <f ca="1">IF(C289=$U$4,"Enter smelter details", IF(ISERROR($S289),"",OFFSET('Smelter Reference List'!$F$4,$S289-4,0)))</f>
        <v/>
      </c>
      <c r="H289" s="293" t="str">
        <f ca="1">IF(ISERROR($S289),"",OFFSET('Smelter Reference List'!$G$4,$S289-4,0))</f>
        <v/>
      </c>
      <c r="I289" s="294" t="str">
        <f ca="1">IF(ISERROR($S289),"",OFFSET('Smelter Reference List'!$H$4,$S289-4,0))</f>
        <v/>
      </c>
      <c r="J289" s="294" t="str">
        <f ca="1">IF(ISERROR($S289),"",OFFSET('Smelter Reference List'!$I$4,$S289-4,0))</f>
        <v/>
      </c>
      <c r="K289" s="295"/>
      <c r="L289" s="295"/>
      <c r="M289" s="295"/>
      <c r="N289" s="295"/>
      <c r="O289" s="295"/>
      <c r="P289" s="295"/>
      <c r="Q289" s="296"/>
      <c r="R289" s="227"/>
      <c r="S289" s="228" t="e">
        <f>IF(C289="",NA(),MATCH($B289&amp;$C289,'Smelter Reference List'!$J:$J,0))</f>
        <v>#N/A</v>
      </c>
      <c r="T289" s="229"/>
      <c r="U289" s="229">
        <f t="shared" ca="1" si="10"/>
        <v>0</v>
      </c>
      <c r="V289" s="229"/>
      <c r="W289" s="229"/>
      <c r="Y289" s="223" t="str">
        <f t="shared" si="11"/>
        <v/>
      </c>
    </row>
    <row r="290" spans="1:25" s="223" customFormat="1" ht="20.25">
      <c r="A290" s="291"/>
      <c r="B290" s="292" t="str">
        <f>IF(LEN(A290)=0,"",INDEX('Smelter Reference List'!$A:$A,MATCH($A290,'Smelter Reference List'!$E:$E,0)))</f>
        <v/>
      </c>
      <c r="C290" s="298" t="str">
        <f>IF(LEN(A290)=0,"",INDEX('Smelter Reference List'!$C:$C,MATCH($A290,'Smelter Reference List'!$E:$E,0)))</f>
        <v/>
      </c>
      <c r="D290" s="292" t="str">
        <f ca="1">IF(ISERROR($S290),"",OFFSET('Smelter Reference List'!$C$4,$S290-4,0)&amp;"")</f>
        <v/>
      </c>
      <c r="E290" s="292" t="str">
        <f ca="1">IF(ISERROR($S290),"",OFFSET('Smelter Reference List'!$D$4,$S290-4,0)&amp;"")</f>
        <v/>
      </c>
      <c r="F290" s="292" t="str">
        <f ca="1">IF(ISERROR($S290),"",OFFSET('Smelter Reference List'!$E$4,$S290-4,0))</f>
        <v/>
      </c>
      <c r="G290" s="292" t="str">
        <f ca="1">IF(C290=$U$4,"Enter smelter details", IF(ISERROR($S290),"",OFFSET('Smelter Reference List'!$F$4,$S290-4,0)))</f>
        <v/>
      </c>
      <c r="H290" s="293" t="str">
        <f ca="1">IF(ISERROR($S290),"",OFFSET('Smelter Reference List'!$G$4,$S290-4,0))</f>
        <v/>
      </c>
      <c r="I290" s="294" t="str">
        <f ca="1">IF(ISERROR($S290),"",OFFSET('Smelter Reference List'!$H$4,$S290-4,0))</f>
        <v/>
      </c>
      <c r="J290" s="294" t="str">
        <f ca="1">IF(ISERROR($S290),"",OFFSET('Smelter Reference List'!$I$4,$S290-4,0))</f>
        <v/>
      </c>
      <c r="K290" s="295"/>
      <c r="L290" s="295"/>
      <c r="M290" s="295"/>
      <c r="N290" s="295"/>
      <c r="O290" s="295"/>
      <c r="P290" s="295"/>
      <c r="Q290" s="296"/>
      <c r="R290" s="227"/>
      <c r="S290" s="228" t="e">
        <f>IF(C290="",NA(),MATCH($B290&amp;$C290,'Smelter Reference List'!$J:$J,0))</f>
        <v>#N/A</v>
      </c>
      <c r="T290" s="229"/>
      <c r="U290" s="229">
        <f t="shared" ca="1" si="10"/>
        <v>0</v>
      </c>
      <c r="V290" s="229"/>
      <c r="W290" s="229"/>
      <c r="Y290" s="223" t="str">
        <f t="shared" si="11"/>
        <v/>
      </c>
    </row>
    <row r="291" spans="1:25" s="223" customFormat="1" ht="20.25">
      <c r="A291" s="291"/>
      <c r="B291" s="292" t="str">
        <f>IF(LEN(A291)=0,"",INDEX('Smelter Reference List'!$A:$A,MATCH($A291,'Smelter Reference List'!$E:$E,0)))</f>
        <v/>
      </c>
      <c r="C291" s="298" t="str">
        <f>IF(LEN(A291)=0,"",INDEX('Smelter Reference List'!$C:$C,MATCH($A291,'Smelter Reference List'!$E:$E,0)))</f>
        <v/>
      </c>
      <c r="D291" s="292" t="str">
        <f ca="1">IF(ISERROR($S291),"",OFFSET('Smelter Reference List'!$C$4,$S291-4,0)&amp;"")</f>
        <v/>
      </c>
      <c r="E291" s="292" t="str">
        <f ca="1">IF(ISERROR($S291),"",OFFSET('Smelter Reference List'!$D$4,$S291-4,0)&amp;"")</f>
        <v/>
      </c>
      <c r="F291" s="292" t="str">
        <f ca="1">IF(ISERROR($S291),"",OFFSET('Smelter Reference List'!$E$4,$S291-4,0))</f>
        <v/>
      </c>
      <c r="G291" s="292" t="str">
        <f ca="1">IF(C291=$U$4,"Enter smelter details", IF(ISERROR($S291),"",OFFSET('Smelter Reference List'!$F$4,$S291-4,0)))</f>
        <v/>
      </c>
      <c r="H291" s="293" t="str">
        <f ca="1">IF(ISERROR($S291),"",OFFSET('Smelter Reference List'!$G$4,$S291-4,0))</f>
        <v/>
      </c>
      <c r="I291" s="294" t="str">
        <f ca="1">IF(ISERROR($S291),"",OFFSET('Smelter Reference List'!$H$4,$S291-4,0))</f>
        <v/>
      </c>
      <c r="J291" s="294" t="str">
        <f ca="1">IF(ISERROR($S291),"",OFFSET('Smelter Reference List'!$I$4,$S291-4,0))</f>
        <v/>
      </c>
      <c r="K291" s="295"/>
      <c r="L291" s="295"/>
      <c r="M291" s="295"/>
      <c r="N291" s="295"/>
      <c r="O291" s="295"/>
      <c r="P291" s="295"/>
      <c r="Q291" s="296"/>
      <c r="R291" s="227"/>
      <c r="S291" s="228" t="e">
        <f>IF(C291="",NA(),MATCH($B291&amp;$C291,'Smelter Reference List'!$J:$J,0))</f>
        <v>#N/A</v>
      </c>
      <c r="T291" s="229"/>
      <c r="U291" s="229">
        <f t="shared" ca="1" si="10"/>
        <v>0</v>
      </c>
      <c r="V291" s="229"/>
      <c r="W291" s="229"/>
      <c r="Y291" s="223" t="str">
        <f t="shared" si="11"/>
        <v/>
      </c>
    </row>
    <row r="292" spans="1:25" s="223" customFormat="1" ht="20.25">
      <c r="A292" s="291"/>
      <c r="B292" s="292" t="str">
        <f>IF(LEN(A292)=0,"",INDEX('Smelter Reference List'!$A:$A,MATCH($A292,'Smelter Reference List'!$E:$E,0)))</f>
        <v/>
      </c>
      <c r="C292" s="298" t="str">
        <f>IF(LEN(A292)=0,"",INDEX('Smelter Reference List'!$C:$C,MATCH($A292,'Smelter Reference List'!$E:$E,0)))</f>
        <v/>
      </c>
      <c r="D292" s="292" t="str">
        <f ca="1">IF(ISERROR($S292),"",OFFSET('Smelter Reference List'!$C$4,$S292-4,0)&amp;"")</f>
        <v/>
      </c>
      <c r="E292" s="292" t="str">
        <f ca="1">IF(ISERROR($S292),"",OFFSET('Smelter Reference List'!$D$4,$S292-4,0)&amp;"")</f>
        <v/>
      </c>
      <c r="F292" s="292" t="str">
        <f ca="1">IF(ISERROR($S292),"",OFFSET('Smelter Reference List'!$E$4,$S292-4,0))</f>
        <v/>
      </c>
      <c r="G292" s="292" t="str">
        <f ca="1">IF(C292=$U$4,"Enter smelter details", IF(ISERROR($S292),"",OFFSET('Smelter Reference List'!$F$4,$S292-4,0)))</f>
        <v/>
      </c>
      <c r="H292" s="293" t="str">
        <f ca="1">IF(ISERROR($S292),"",OFFSET('Smelter Reference List'!$G$4,$S292-4,0))</f>
        <v/>
      </c>
      <c r="I292" s="294" t="str">
        <f ca="1">IF(ISERROR($S292),"",OFFSET('Smelter Reference List'!$H$4,$S292-4,0))</f>
        <v/>
      </c>
      <c r="J292" s="294" t="str">
        <f ca="1">IF(ISERROR($S292),"",OFFSET('Smelter Reference List'!$I$4,$S292-4,0))</f>
        <v/>
      </c>
      <c r="K292" s="295"/>
      <c r="L292" s="295"/>
      <c r="M292" s="295"/>
      <c r="N292" s="295"/>
      <c r="O292" s="295"/>
      <c r="P292" s="295"/>
      <c r="Q292" s="296"/>
      <c r="R292" s="227"/>
      <c r="S292" s="228" t="e">
        <f>IF(C292="",NA(),MATCH($B292&amp;$C292,'Smelter Reference List'!$J:$J,0))</f>
        <v>#N/A</v>
      </c>
      <c r="T292" s="229"/>
      <c r="U292" s="229">
        <f t="shared" ca="1" si="10"/>
        <v>0</v>
      </c>
      <c r="V292" s="229"/>
      <c r="W292" s="229"/>
      <c r="Y292" s="223" t="str">
        <f t="shared" si="11"/>
        <v/>
      </c>
    </row>
    <row r="293" spans="1:25" s="223" customFormat="1" ht="20.25">
      <c r="A293" s="291"/>
      <c r="B293" s="292" t="str">
        <f>IF(LEN(A293)=0,"",INDEX('Smelter Reference List'!$A:$A,MATCH($A293,'Smelter Reference List'!$E:$E,0)))</f>
        <v/>
      </c>
      <c r="C293" s="298" t="str">
        <f>IF(LEN(A293)=0,"",INDEX('Smelter Reference List'!$C:$C,MATCH($A293,'Smelter Reference List'!$E:$E,0)))</f>
        <v/>
      </c>
      <c r="D293" s="292" t="str">
        <f ca="1">IF(ISERROR($S293),"",OFFSET('Smelter Reference List'!$C$4,$S293-4,0)&amp;"")</f>
        <v/>
      </c>
      <c r="E293" s="292" t="str">
        <f ca="1">IF(ISERROR($S293),"",OFFSET('Smelter Reference List'!$D$4,$S293-4,0)&amp;"")</f>
        <v/>
      </c>
      <c r="F293" s="292" t="str">
        <f ca="1">IF(ISERROR($S293),"",OFFSET('Smelter Reference List'!$E$4,$S293-4,0))</f>
        <v/>
      </c>
      <c r="G293" s="292" t="str">
        <f ca="1">IF(C293=$U$4,"Enter smelter details", IF(ISERROR($S293),"",OFFSET('Smelter Reference List'!$F$4,$S293-4,0)))</f>
        <v/>
      </c>
      <c r="H293" s="293" t="str">
        <f ca="1">IF(ISERROR($S293),"",OFFSET('Smelter Reference List'!$G$4,$S293-4,0))</f>
        <v/>
      </c>
      <c r="I293" s="294" t="str">
        <f ca="1">IF(ISERROR($S293),"",OFFSET('Smelter Reference List'!$H$4,$S293-4,0))</f>
        <v/>
      </c>
      <c r="J293" s="294" t="str">
        <f ca="1">IF(ISERROR($S293),"",OFFSET('Smelter Reference List'!$I$4,$S293-4,0))</f>
        <v/>
      </c>
      <c r="K293" s="295"/>
      <c r="L293" s="295"/>
      <c r="M293" s="295"/>
      <c r="N293" s="295"/>
      <c r="O293" s="295"/>
      <c r="P293" s="295"/>
      <c r="Q293" s="296"/>
      <c r="R293" s="227"/>
      <c r="S293" s="228" t="e">
        <f>IF(C293="",NA(),MATCH($B293&amp;$C293,'Smelter Reference List'!$J:$J,0))</f>
        <v>#N/A</v>
      </c>
      <c r="T293" s="229"/>
      <c r="U293" s="229">
        <f t="shared" ca="1" si="10"/>
        <v>0</v>
      </c>
      <c r="V293" s="229"/>
      <c r="W293" s="229"/>
      <c r="Y293" s="223" t="str">
        <f t="shared" si="11"/>
        <v/>
      </c>
    </row>
    <row r="294" spans="1:25" s="223" customFormat="1" ht="20.25">
      <c r="A294" s="291"/>
      <c r="B294" s="292" t="str">
        <f>IF(LEN(A294)=0,"",INDEX('Smelter Reference List'!$A:$A,MATCH($A294,'Smelter Reference List'!$E:$E,0)))</f>
        <v/>
      </c>
      <c r="C294" s="298" t="str">
        <f>IF(LEN(A294)=0,"",INDEX('Smelter Reference List'!$C:$C,MATCH($A294,'Smelter Reference List'!$E:$E,0)))</f>
        <v/>
      </c>
      <c r="D294" s="292" t="str">
        <f ca="1">IF(ISERROR($S294),"",OFFSET('Smelter Reference List'!$C$4,$S294-4,0)&amp;"")</f>
        <v/>
      </c>
      <c r="E294" s="292" t="str">
        <f ca="1">IF(ISERROR($S294),"",OFFSET('Smelter Reference List'!$D$4,$S294-4,0)&amp;"")</f>
        <v/>
      </c>
      <c r="F294" s="292" t="str">
        <f ca="1">IF(ISERROR($S294),"",OFFSET('Smelter Reference List'!$E$4,$S294-4,0))</f>
        <v/>
      </c>
      <c r="G294" s="292" t="str">
        <f ca="1">IF(C294=$U$4,"Enter smelter details", IF(ISERROR($S294),"",OFFSET('Smelter Reference List'!$F$4,$S294-4,0)))</f>
        <v/>
      </c>
      <c r="H294" s="293" t="str">
        <f ca="1">IF(ISERROR($S294),"",OFFSET('Smelter Reference List'!$G$4,$S294-4,0))</f>
        <v/>
      </c>
      <c r="I294" s="294" t="str">
        <f ca="1">IF(ISERROR($S294),"",OFFSET('Smelter Reference List'!$H$4,$S294-4,0))</f>
        <v/>
      </c>
      <c r="J294" s="294" t="str">
        <f ca="1">IF(ISERROR($S294),"",OFFSET('Smelter Reference List'!$I$4,$S294-4,0))</f>
        <v/>
      </c>
      <c r="K294" s="295"/>
      <c r="L294" s="295"/>
      <c r="M294" s="295"/>
      <c r="N294" s="295"/>
      <c r="O294" s="295"/>
      <c r="P294" s="295"/>
      <c r="Q294" s="296"/>
      <c r="R294" s="227"/>
      <c r="S294" s="228" t="e">
        <f>IF(C294="",NA(),MATCH($B294&amp;$C294,'Smelter Reference List'!$J:$J,0))</f>
        <v>#N/A</v>
      </c>
      <c r="T294" s="229"/>
      <c r="U294" s="229">
        <f t="shared" ca="1" si="10"/>
        <v>0</v>
      </c>
      <c r="V294" s="229"/>
      <c r="W294" s="229"/>
      <c r="Y294" s="223" t="str">
        <f t="shared" si="11"/>
        <v/>
      </c>
    </row>
    <row r="295" spans="1:25" s="223" customFormat="1" ht="20.25">
      <c r="A295" s="291"/>
      <c r="B295" s="292" t="str">
        <f>IF(LEN(A295)=0,"",INDEX('Smelter Reference List'!$A:$A,MATCH($A295,'Smelter Reference List'!$E:$E,0)))</f>
        <v/>
      </c>
      <c r="C295" s="298" t="str">
        <f>IF(LEN(A295)=0,"",INDEX('Smelter Reference List'!$C:$C,MATCH($A295,'Smelter Reference List'!$E:$E,0)))</f>
        <v/>
      </c>
      <c r="D295" s="292" t="str">
        <f ca="1">IF(ISERROR($S295),"",OFFSET('Smelter Reference List'!$C$4,$S295-4,0)&amp;"")</f>
        <v/>
      </c>
      <c r="E295" s="292" t="str">
        <f ca="1">IF(ISERROR($S295),"",OFFSET('Smelter Reference List'!$D$4,$S295-4,0)&amp;"")</f>
        <v/>
      </c>
      <c r="F295" s="292" t="str">
        <f ca="1">IF(ISERROR($S295),"",OFFSET('Smelter Reference List'!$E$4,$S295-4,0))</f>
        <v/>
      </c>
      <c r="G295" s="292" t="str">
        <f ca="1">IF(C295=$U$4,"Enter smelter details", IF(ISERROR($S295),"",OFFSET('Smelter Reference List'!$F$4,$S295-4,0)))</f>
        <v/>
      </c>
      <c r="H295" s="293" t="str">
        <f ca="1">IF(ISERROR($S295),"",OFFSET('Smelter Reference List'!$G$4,$S295-4,0))</f>
        <v/>
      </c>
      <c r="I295" s="294" t="str">
        <f ca="1">IF(ISERROR($S295),"",OFFSET('Smelter Reference List'!$H$4,$S295-4,0))</f>
        <v/>
      </c>
      <c r="J295" s="294" t="str">
        <f ca="1">IF(ISERROR($S295),"",OFFSET('Smelter Reference List'!$I$4,$S295-4,0))</f>
        <v/>
      </c>
      <c r="K295" s="295"/>
      <c r="L295" s="295"/>
      <c r="M295" s="295"/>
      <c r="N295" s="295"/>
      <c r="O295" s="295"/>
      <c r="P295" s="295"/>
      <c r="Q295" s="296"/>
      <c r="R295" s="227"/>
      <c r="S295" s="228" t="e">
        <f>IF(C295="",NA(),MATCH($B295&amp;$C295,'Smelter Reference List'!$J:$J,0))</f>
        <v>#N/A</v>
      </c>
      <c r="T295" s="229"/>
      <c r="U295" s="229">
        <f t="shared" ca="1" si="10"/>
        <v>0</v>
      </c>
      <c r="V295" s="229"/>
      <c r="W295" s="229"/>
      <c r="Y295" s="223" t="str">
        <f t="shared" si="11"/>
        <v/>
      </c>
    </row>
    <row r="296" spans="1:25" s="223" customFormat="1" ht="20.25">
      <c r="A296" s="291"/>
      <c r="B296" s="292" t="str">
        <f>IF(LEN(A296)=0,"",INDEX('Smelter Reference List'!$A:$A,MATCH($A296,'Smelter Reference List'!$E:$E,0)))</f>
        <v/>
      </c>
      <c r="C296" s="298" t="str">
        <f>IF(LEN(A296)=0,"",INDEX('Smelter Reference List'!$C:$C,MATCH($A296,'Smelter Reference List'!$E:$E,0)))</f>
        <v/>
      </c>
      <c r="D296" s="292" t="str">
        <f ca="1">IF(ISERROR($S296),"",OFFSET('Smelter Reference List'!$C$4,$S296-4,0)&amp;"")</f>
        <v/>
      </c>
      <c r="E296" s="292" t="str">
        <f ca="1">IF(ISERROR($S296),"",OFFSET('Smelter Reference List'!$D$4,$S296-4,0)&amp;"")</f>
        <v/>
      </c>
      <c r="F296" s="292" t="str">
        <f ca="1">IF(ISERROR($S296),"",OFFSET('Smelter Reference List'!$E$4,$S296-4,0))</f>
        <v/>
      </c>
      <c r="G296" s="292" t="str">
        <f ca="1">IF(C296=$U$4,"Enter smelter details", IF(ISERROR($S296),"",OFFSET('Smelter Reference List'!$F$4,$S296-4,0)))</f>
        <v/>
      </c>
      <c r="H296" s="293" t="str">
        <f ca="1">IF(ISERROR($S296),"",OFFSET('Smelter Reference List'!$G$4,$S296-4,0))</f>
        <v/>
      </c>
      <c r="I296" s="294" t="str">
        <f ca="1">IF(ISERROR($S296),"",OFFSET('Smelter Reference List'!$H$4,$S296-4,0))</f>
        <v/>
      </c>
      <c r="J296" s="294" t="str">
        <f ca="1">IF(ISERROR($S296),"",OFFSET('Smelter Reference List'!$I$4,$S296-4,0))</f>
        <v/>
      </c>
      <c r="K296" s="295"/>
      <c r="L296" s="295"/>
      <c r="M296" s="295"/>
      <c r="N296" s="295"/>
      <c r="O296" s="295"/>
      <c r="P296" s="295"/>
      <c r="Q296" s="296"/>
      <c r="R296" s="227"/>
      <c r="S296" s="228" t="e">
        <f>IF(C296="",NA(),MATCH($B296&amp;$C296,'Smelter Reference List'!$J:$J,0))</f>
        <v>#N/A</v>
      </c>
      <c r="T296" s="229"/>
      <c r="U296" s="229">
        <f t="shared" ca="1" si="10"/>
        <v>0</v>
      </c>
      <c r="V296" s="229"/>
      <c r="W296" s="229"/>
      <c r="Y296" s="223" t="str">
        <f t="shared" si="11"/>
        <v/>
      </c>
    </row>
    <row r="297" spans="1:25" s="223" customFormat="1" ht="20.25">
      <c r="A297" s="291"/>
      <c r="B297" s="292" t="str">
        <f>IF(LEN(A297)=0,"",INDEX('Smelter Reference List'!$A:$A,MATCH($A297,'Smelter Reference List'!$E:$E,0)))</f>
        <v/>
      </c>
      <c r="C297" s="298" t="str">
        <f>IF(LEN(A297)=0,"",INDEX('Smelter Reference List'!$C:$C,MATCH($A297,'Smelter Reference List'!$E:$E,0)))</f>
        <v/>
      </c>
      <c r="D297" s="292" t="str">
        <f ca="1">IF(ISERROR($S297),"",OFFSET('Smelter Reference List'!$C$4,$S297-4,0)&amp;"")</f>
        <v/>
      </c>
      <c r="E297" s="292" t="str">
        <f ca="1">IF(ISERROR($S297),"",OFFSET('Smelter Reference List'!$D$4,$S297-4,0)&amp;"")</f>
        <v/>
      </c>
      <c r="F297" s="292" t="str">
        <f ca="1">IF(ISERROR($S297),"",OFFSET('Smelter Reference List'!$E$4,$S297-4,0))</f>
        <v/>
      </c>
      <c r="G297" s="292" t="str">
        <f ca="1">IF(C297=$U$4,"Enter smelter details", IF(ISERROR($S297),"",OFFSET('Smelter Reference List'!$F$4,$S297-4,0)))</f>
        <v/>
      </c>
      <c r="H297" s="293" t="str">
        <f ca="1">IF(ISERROR($S297),"",OFFSET('Smelter Reference List'!$G$4,$S297-4,0))</f>
        <v/>
      </c>
      <c r="I297" s="294" t="str">
        <f ca="1">IF(ISERROR($S297),"",OFFSET('Smelter Reference List'!$H$4,$S297-4,0))</f>
        <v/>
      </c>
      <c r="J297" s="294" t="str">
        <f ca="1">IF(ISERROR($S297),"",OFFSET('Smelter Reference List'!$I$4,$S297-4,0))</f>
        <v/>
      </c>
      <c r="K297" s="295"/>
      <c r="L297" s="295"/>
      <c r="M297" s="295"/>
      <c r="N297" s="295"/>
      <c r="O297" s="295"/>
      <c r="P297" s="295"/>
      <c r="Q297" s="296"/>
      <c r="R297" s="227"/>
      <c r="S297" s="228" t="e">
        <f>IF(C297="",NA(),MATCH($B297&amp;$C297,'Smelter Reference List'!$J:$J,0))</f>
        <v>#N/A</v>
      </c>
      <c r="T297" s="229"/>
      <c r="U297" s="229">
        <f t="shared" ca="1" si="10"/>
        <v>0</v>
      </c>
      <c r="V297" s="229"/>
      <c r="W297" s="229"/>
      <c r="Y297" s="223" t="str">
        <f t="shared" si="11"/>
        <v/>
      </c>
    </row>
    <row r="298" spans="1:25" s="223" customFormat="1" ht="20.25">
      <c r="A298" s="291"/>
      <c r="B298" s="292" t="str">
        <f>IF(LEN(A298)=0,"",INDEX('Smelter Reference List'!$A:$A,MATCH($A298,'Smelter Reference List'!$E:$E,0)))</f>
        <v/>
      </c>
      <c r="C298" s="298" t="str">
        <f>IF(LEN(A298)=0,"",INDEX('Smelter Reference List'!$C:$C,MATCH($A298,'Smelter Reference List'!$E:$E,0)))</f>
        <v/>
      </c>
      <c r="D298" s="292" t="str">
        <f ca="1">IF(ISERROR($S298),"",OFFSET('Smelter Reference List'!$C$4,$S298-4,0)&amp;"")</f>
        <v/>
      </c>
      <c r="E298" s="292" t="str">
        <f ca="1">IF(ISERROR($S298),"",OFFSET('Smelter Reference List'!$D$4,$S298-4,0)&amp;"")</f>
        <v/>
      </c>
      <c r="F298" s="292" t="str">
        <f ca="1">IF(ISERROR($S298),"",OFFSET('Smelter Reference List'!$E$4,$S298-4,0))</f>
        <v/>
      </c>
      <c r="G298" s="292" t="str">
        <f ca="1">IF(C298=$U$4,"Enter smelter details", IF(ISERROR($S298),"",OFFSET('Smelter Reference List'!$F$4,$S298-4,0)))</f>
        <v/>
      </c>
      <c r="H298" s="293" t="str">
        <f ca="1">IF(ISERROR($S298),"",OFFSET('Smelter Reference List'!$G$4,$S298-4,0))</f>
        <v/>
      </c>
      <c r="I298" s="294" t="str">
        <f ca="1">IF(ISERROR($S298),"",OFFSET('Smelter Reference List'!$H$4,$S298-4,0))</f>
        <v/>
      </c>
      <c r="J298" s="294" t="str">
        <f ca="1">IF(ISERROR($S298),"",OFFSET('Smelter Reference List'!$I$4,$S298-4,0))</f>
        <v/>
      </c>
      <c r="K298" s="295"/>
      <c r="L298" s="295"/>
      <c r="M298" s="295"/>
      <c r="N298" s="295"/>
      <c r="O298" s="295"/>
      <c r="P298" s="295"/>
      <c r="Q298" s="296"/>
      <c r="R298" s="227"/>
      <c r="S298" s="228" t="e">
        <f>IF(C298="",NA(),MATCH($B298&amp;$C298,'Smelter Reference List'!$J:$J,0))</f>
        <v>#N/A</v>
      </c>
      <c r="T298" s="229"/>
      <c r="U298" s="229">
        <f t="shared" ca="1" si="10"/>
        <v>0</v>
      </c>
      <c r="V298" s="229"/>
      <c r="W298" s="229"/>
      <c r="Y298" s="223" t="str">
        <f t="shared" si="11"/>
        <v/>
      </c>
    </row>
    <row r="299" spans="1:25" s="223" customFormat="1" ht="20.25">
      <c r="A299" s="291"/>
      <c r="B299" s="292" t="str">
        <f>IF(LEN(A299)=0,"",INDEX('Smelter Reference List'!$A:$A,MATCH($A299,'Smelter Reference List'!$E:$E,0)))</f>
        <v/>
      </c>
      <c r="C299" s="298" t="str">
        <f>IF(LEN(A299)=0,"",INDEX('Smelter Reference List'!$C:$C,MATCH($A299,'Smelter Reference List'!$E:$E,0)))</f>
        <v/>
      </c>
      <c r="D299" s="292" t="str">
        <f ca="1">IF(ISERROR($S299),"",OFFSET('Smelter Reference List'!$C$4,$S299-4,0)&amp;"")</f>
        <v/>
      </c>
      <c r="E299" s="292" t="str">
        <f ca="1">IF(ISERROR($S299),"",OFFSET('Smelter Reference List'!$D$4,$S299-4,0)&amp;"")</f>
        <v/>
      </c>
      <c r="F299" s="292" t="str">
        <f ca="1">IF(ISERROR($S299),"",OFFSET('Smelter Reference List'!$E$4,$S299-4,0))</f>
        <v/>
      </c>
      <c r="G299" s="292" t="str">
        <f ca="1">IF(C299=$U$4,"Enter smelter details", IF(ISERROR($S299),"",OFFSET('Smelter Reference List'!$F$4,$S299-4,0)))</f>
        <v/>
      </c>
      <c r="H299" s="293" t="str">
        <f ca="1">IF(ISERROR($S299),"",OFFSET('Smelter Reference List'!$G$4,$S299-4,0))</f>
        <v/>
      </c>
      <c r="I299" s="294" t="str">
        <f ca="1">IF(ISERROR($S299),"",OFFSET('Smelter Reference List'!$H$4,$S299-4,0))</f>
        <v/>
      </c>
      <c r="J299" s="294" t="str">
        <f ca="1">IF(ISERROR($S299),"",OFFSET('Smelter Reference List'!$I$4,$S299-4,0))</f>
        <v/>
      </c>
      <c r="K299" s="295"/>
      <c r="L299" s="295"/>
      <c r="M299" s="295"/>
      <c r="N299" s="295"/>
      <c r="O299" s="295"/>
      <c r="P299" s="295"/>
      <c r="Q299" s="296"/>
      <c r="R299" s="227"/>
      <c r="S299" s="228" t="e">
        <f>IF(C299="",NA(),MATCH($B299&amp;$C299,'Smelter Reference List'!$J:$J,0))</f>
        <v>#N/A</v>
      </c>
      <c r="T299" s="229"/>
      <c r="U299" s="229">
        <f t="shared" ca="1" si="10"/>
        <v>0</v>
      </c>
      <c r="V299" s="229"/>
      <c r="W299" s="229"/>
      <c r="Y299" s="223" t="str">
        <f t="shared" si="11"/>
        <v/>
      </c>
    </row>
    <row r="300" spans="1:25" s="223" customFormat="1" ht="20.25">
      <c r="A300" s="291"/>
      <c r="B300" s="292" t="str">
        <f>IF(LEN(A300)=0,"",INDEX('Smelter Reference List'!$A:$A,MATCH($A300,'Smelter Reference List'!$E:$E,0)))</f>
        <v/>
      </c>
      <c r="C300" s="298" t="str">
        <f>IF(LEN(A300)=0,"",INDEX('Smelter Reference List'!$C:$C,MATCH($A300,'Smelter Reference List'!$E:$E,0)))</f>
        <v/>
      </c>
      <c r="D300" s="292" t="str">
        <f ca="1">IF(ISERROR($S300),"",OFFSET('Smelter Reference List'!$C$4,$S300-4,0)&amp;"")</f>
        <v/>
      </c>
      <c r="E300" s="292" t="str">
        <f ca="1">IF(ISERROR($S300),"",OFFSET('Smelter Reference List'!$D$4,$S300-4,0)&amp;"")</f>
        <v/>
      </c>
      <c r="F300" s="292" t="str">
        <f ca="1">IF(ISERROR($S300),"",OFFSET('Smelter Reference List'!$E$4,$S300-4,0))</f>
        <v/>
      </c>
      <c r="G300" s="292" t="str">
        <f ca="1">IF(C300=$U$4,"Enter smelter details", IF(ISERROR($S300),"",OFFSET('Smelter Reference List'!$F$4,$S300-4,0)))</f>
        <v/>
      </c>
      <c r="H300" s="293" t="str">
        <f ca="1">IF(ISERROR($S300),"",OFFSET('Smelter Reference List'!$G$4,$S300-4,0))</f>
        <v/>
      </c>
      <c r="I300" s="294" t="str">
        <f ca="1">IF(ISERROR($S300),"",OFFSET('Smelter Reference List'!$H$4,$S300-4,0))</f>
        <v/>
      </c>
      <c r="J300" s="294" t="str">
        <f ca="1">IF(ISERROR($S300),"",OFFSET('Smelter Reference List'!$I$4,$S300-4,0))</f>
        <v/>
      </c>
      <c r="K300" s="295"/>
      <c r="L300" s="295"/>
      <c r="M300" s="295"/>
      <c r="N300" s="295"/>
      <c r="O300" s="295"/>
      <c r="P300" s="295"/>
      <c r="Q300" s="296"/>
      <c r="R300" s="227"/>
      <c r="S300" s="228" t="e">
        <f>IF(C300="",NA(),MATCH($B300&amp;$C300,'Smelter Reference List'!$J:$J,0))</f>
        <v>#N/A</v>
      </c>
      <c r="T300" s="229"/>
      <c r="U300" s="229">
        <f t="shared" ca="1" si="10"/>
        <v>0</v>
      </c>
      <c r="V300" s="229"/>
      <c r="W300" s="229"/>
      <c r="Y300" s="223" t="str">
        <f t="shared" si="11"/>
        <v/>
      </c>
    </row>
    <row r="301" spans="1:25" s="223" customFormat="1" ht="20.25">
      <c r="A301" s="291"/>
      <c r="B301" s="292" t="str">
        <f>IF(LEN(A301)=0,"",INDEX('Smelter Reference List'!$A:$A,MATCH($A301,'Smelter Reference List'!$E:$E,0)))</f>
        <v/>
      </c>
      <c r="C301" s="298" t="str">
        <f>IF(LEN(A301)=0,"",INDEX('Smelter Reference List'!$C:$C,MATCH($A301,'Smelter Reference List'!$E:$E,0)))</f>
        <v/>
      </c>
      <c r="D301" s="292" t="str">
        <f ca="1">IF(ISERROR($S301),"",OFFSET('Smelter Reference List'!$C$4,$S301-4,0)&amp;"")</f>
        <v/>
      </c>
      <c r="E301" s="292" t="str">
        <f ca="1">IF(ISERROR($S301),"",OFFSET('Smelter Reference List'!$D$4,$S301-4,0)&amp;"")</f>
        <v/>
      </c>
      <c r="F301" s="292" t="str">
        <f ca="1">IF(ISERROR($S301),"",OFFSET('Smelter Reference List'!$E$4,$S301-4,0))</f>
        <v/>
      </c>
      <c r="G301" s="292" t="str">
        <f ca="1">IF(C301=$U$4,"Enter smelter details", IF(ISERROR($S301),"",OFFSET('Smelter Reference List'!$F$4,$S301-4,0)))</f>
        <v/>
      </c>
      <c r="H301" s="293" t="str">
        <f ca="1">IF(ISERROR($S301),"",OFFSET('Smelter Reference List'!$G$4,$S301-4,0))</f>
        <v/>
      </c>
      <c r="I301" s="294" t="str">
        <f ca="1">IF(ISERROR($S301),"",OFFSET('Smelter Reference List'!$H$4,$S301-4,0))</f>
        <v/>
      </c>
      <c r="J301" s="294" t="str">
        <f ca="1">IF(ISERROR($S301),"",OFFSET('Smelter Reference List'!$I$4,$S301-4,0))</f>
        <v/>
      </c>
      <c r="K301" s="295"/>
      <c r="L301" s="295"/>
      <c r="M301" s="295"/>
      <c r="N301" s="295"/>
      <c r="O301" s="295"/>
      <c r="P301" s="295"/>
      <c r="Q301" s="296"/>
      <c r="R301" s="227"/>
      <c r="S301" s="228" t="e">
        <f>IF(C301="",NA(),MATCH($B301&amp;$C301,'Smelter Reference List'!$J:$J,0))</f>
        <v>#N/A</v>
      </c>
      <c r="T301" s="229"/>
      <c r="U301" s="229">
        <f t="shared" ca="1" si="10"/>
        <v>0</v>
      </c>
      <c r="V301" s="229"/>
      <c r="W301" s="229"/>
      <c r="Y301" s="223" t="str">
        <f t="shared" si="11"/>
        <v/>
      </c>
    </row>
    <row r="302" spans="1:25" s="223" customFormat="1" ht="20.25">
      <c r="A302" s="291"/>
      <c r="B302" s="292" t="str">
        <f>IF(LEN(A302)=0,"",INDEX('Smelter Reference List'!$A:$A,MATCH($A302,'Smelter Reference List'!$E:$E,0)))</f>
        <v/>
      </c>
      <c r="C302" s="298" t="str">
        <f>IF(LEN(A302)=0,"",INDEX('Smelter Reference List'!$C:$C,MATCH($A302,'Smelter Reference List'!$E:$E,0)))</f>
        <v/>
      </c>
      <c r="D302" s="292" t="str">
        <f ca="1">IF(ISERROR($S302),"",OFFSET('Smelter Reference List'!$C$4,$S302-4,0)&amp;"")</f>
        <v/>
      </c>
      <c r="E302" s="292" t="str">
        <f ca="1">IF(ISERROR($S302),"",OFFSET('Smelter Reference List'!$D$4,$S302-4,0)&amp;"")</f>
        <v/>
      </c>
      <c r="F302" s="292" t="str">
        <f ca="1">IF(ISERROR($S302),"",OFFSET('Smelter Reference List'!$E$4,$S302-4,0))</f>
        <v/>
      </c>
      <c r="G302" s="292" t="str">
        <f ca="1">IF(C302=$U$4,"Enter smelter details", IF(ISERROR($S302),"",OFFSET('Smelter Reference List'!$F$4,$S302-4,0)))</f>
        <v/>
      </c>
      <c r="H302" s="293" t="str">
        <f ca="1">IF(ISERROR($S302),"",OFFSET('Smelter Reference List'!$G$4,$S302-4,0))</f>
        <v/>
      </c>
      <c r="I302" s="294" t="str">
        <f ca="1">IF(ISERROR($S302),"",OFFSET('Smelter Reference List'!$H$4,$S302-4,0))</f>
        <v/>
      </c>
      <c r="J302" s="294" t="str">
        <f ca="1">IF(ISERROR($S302),"",OFFSET('Smelter Reference List'!$I$4,$S302-4,0))</f>
        <v/>
      </c>
      <c r="K302" s="295"/>
      <c r="L302" s="295"/>
      <c r="M302" s="295"/>
      <c r="N302" s="295"/>
      <c r="O302" s="295"/>
      <c r="P302" s="295"/>
      <c r="Q302" s="296"/>
      <c r="R302" s="227"/>
      <c r="S302" s="228" t="e">
        <f>IF(C302="",NA(),MATCH($B302&amp;$C302,'Smelter Reference List'!$J:$J,0))</f>
        <v>#N/A</v>
      </c>
      <c r="T302" s="229"/>
      <c r="U302" s="229">
        <f t="shared" ca="1" si="10"/>
        <v>0</v>
      </c>
      <c r="V302" s="229"/>
      <c r="W302" s="229"/>
      <c r="Y302" s="223" t="str">
        <f t="shared" si="11"/>
        <v/>
      </c>
    </row>
    <row r="303" spans="1:25" s="223" customFormat="1" ht="20.25">
      <c r="A303" s="291"/>
      <c r="B303" s="292" t="str">
        <f>IF(LEN(A303)=0,"",INDEX('Smelter Reference List'!$A:$A,MATCH($A303,'Smelter Reference List'!$E:$E,0)))</f>
        <v/>
      </c>
      <c r="C303" s="298" t="str">
        <f>IF(LEN(A303)=0,"",INDEX('Smelter Reference List'!$C:$C,MATCH($A303,'Smelter Reference List'!$E:$E,0)))</f>
        <v/>
      </c>
      <c r="D303" s="292" t="str">
        <f ca="1">IF(ISERROR($S303),"",OFFSET('Smelter Reference List'!$C$4,$S303-4,0)&amp;"")</f>
        <v/>
      </c>
      <c r="E303" s="292" t="str">
        <f ca="1">IF(ISERROR($S303),"",OFFSET('Smelter Reference List'!$D$4,$S303-4,0)&amp;"")</f>
        <v/>
      </c>
      <c r="F303" s="292" t="str">
        <f ca="1">IF(ISERROR($S303),"",OFFSET('Smelter Reference List'!$E$4,$S303-4,0))</f>
        <v/>
      </c>
      <c r="G303" s="292" t="str">
        <f ca="1">IF(C303=$U$4,"Enter smelter details", IF(ISERROR($S303),"",OFFSET('Smelter Reference List'!$F$4,$S303-4,0)))</f>
        <v/>
      </c>
      <c r="H303" s="293" t="str">
        <f ca="1">IF(ISERROR($S303),"",OFFSET('Smelter Reference List'!$G$4,$S303-4,0))</f>
        <v/>
      </c>
      <c r="I303" s="294" t="str">
        <f ca="1">IF(ISERROR($S303),"",OFFSET('Smelter Reference List'!$H$4,$S303-4,0))</f>
        <v/>
      </c>
      <c r="J303" s="294" t="str">
        <f ca="1">IF(ISERROR($S303),"",OFFSET('Smelter Reference List'!$I$4,$S303-4,0))</f>
        <v/>
      </c>
      <c r="K303" s="295"/>
      <c r="L303" s="295"/>
      <c r="M303" s="295"/>
      <c r="N303" s="295"/>
      <c r="O303" s="295"/>
      <c r="P303" s="295"/>
      <c r="Q303" s="296"/>
      <c r="R303" s="227"/>
      <c r="S303" s="228" t="e">
        <f>IF(C303="",NA(),MATCH($B303&amp;$C303,'Smelter Reference List'!$J:$J,0))</f>
        <v>#N/A</v>
      </c>
      <c r="T303" s="229"/>
      <c r="U303" s="229">
        <f t="shared" ca="1" si="10"/>
        <v>0</v>
      </c>
      <c r="V303" s="229"/>
      <c r="W303" s="229"/>
      <c r="Y303" s="223" t="str">
        <f t="shared" si="11"/>
        <v/>
      </c>
    </row>
    <row r="304" spans="1:25" s="223" customFormat="1" ht="20.25">
      <c r="A304" s="291"/>
      <c r="B304" s="292" t="str">
        <f>IF(LEN(A304)=0,"",INDEX('Smelter Reference List'!$A:$A,MATCH($A304,'Smelter Reference List'!$E:$E,0)))</f>
        <v/>
      </c>
      <c r="C304" s="298" t="str">
        <f>IF(LEN(A304)=0,"",INDEX('Smelter Reference List'!$C:$C,MATCH($A304,'Smelter Reference List'!$E:$E,0)))</f>
        <v/>
      </c>
      <c r="D304" s="292" t="str">
        <f ca="1">IF(ISERROR($S304),"",OFFSET('Smelter Reference List'!$C$4,$S304-4,0)&amp;"")</f>
        <v/>
      </c>
      <c r="E304" s="292" t="str">
        <f ca="1">IF(ISERROR($S304),"",OFFSET('Smelter Reference List'!$D$4,$S304-4,0)&amp;"")</f>
        <v/>
      </c>
      <c r="F304" s="292" t="str">
        <f ca="1">IF(ISERROR($S304),"",OFFSET('Smelter Reference List'!$E$4,$S304-4,0))</f>
        <v/>
      </c>
      <c r="G304" s="292" t="str">
        <f ca="1">IF(C304=$U$4,"Enter smelter details", IF(ISERROR($S304),"",OFFSET('Smelter Reference List'!$F$4,$S304-4,0)))</f>
        <v/>
      </c>
      <c r="H304" s="293" t="str">
        <f ca="1">IF(ISERROR($S304),"",OFFSET('Smelter Reference List'!$G$4,$S304-4,0))</f>
        <v/>
      </c>
      <c r="I304" s="294" t="str">
        <f ca="1">IF(ISERROR($S304),"",OFFSET('Smelter Reference List'!$H$4,$S304-4,0))</f>
        <v/>
      </c>
      <c r="J304" s="294" t="str">
        <f ca="1">IF(ISERROR($S304),"",OFFSET('Smelter Reference List'!$I$4,$S304-4,0))</f>
        <v/>
      </c>
      <c r="K304" s="295"/>
      <c r="L304" s="295"/>
      <c r="M304" s="295"/>
      <c r="N304" s="295"/>
      <c r="O304" s="295"/>
      <c r="P304" s="295"/>
      <c r="Q304" s="296"/>
      <c r="R304" s="227"/>
      <c r="S304" s="228" t="e">
        <f>IF(C304="",NA(),MATCH($B304&amp;$C304,'Smelter Reference List'!$J:$J,0))</f>
        <v>#N/A</v>
      </c>
      <c r="T304" s="229"/>
      <c r="U304" s="229">
        <f t="shared" ca="1" si="10"/>
        <v>0</v>
      </c>
      <c r="V304" s="229"/>
      <c r="W304" s="229"/>
      <c r="Y304" s="223" t="str">
        <f t="shared" si="11"/>
        <v/>
      </c>
    </row>
    <row r="305" spans="1:25" s="223" customFormat="1" ht="20.25">
      <c r="A305" s="291"/>
      <c r="B305" s="292" t="str">
        <f>IF(LEN(A305)=0,"",INDEX('Smelter Reference List'!$A:$A,MATCH($A305,'Smelter Reference List'!$E:$E,0)))</f>
        <v/>
      </c>
      <c r="C305" s="298" t="str">
        <f>IF(LEN(A305)=0,"",INDEX('Smelter Reference List'!$C:$C,MATCH($A305,'Smelter Reference List'!$E:$E,0)))</f>
        <v/>
      </c>
      <c r="D305" s="292" t="str">
        <f ca="1">IF(ISERROR($S305),"",OFFSET('Smelter Reference List'!$C$4,$S305-4,0)&amp;"")</f>
        <v/>
      </c>
      <c r="E305" s="292" t="str">
        <f ca="1">IF(ISERROR($S305),"",OFFSET('Smelter Reference List'!$D$4,$S305-4,0)&amp;"")</f>
        <v/>
      </c>
      <c r="F305" s="292" t="str">
        <f ca="1">IF(ISERROR($S305),"",OFFSET('Smelter Reference List'!$E$4,$S305-4,0))</f>
        <v/>
      </c>
      <c r="G305" s="292" t="str">
        <f ca="1">IF(C305=$U$4,"Enter smelter details", IF(ISERROR($S305),"",OFFSET('Smelter Reference List'!$F$4,$S305-4,0)))</f>
        <v/>
      </c>
      <c r="H305" s="293" t="str">
        <f ca="1">IF(ISERROR($S305),"",OFFSET('Smelter Reference List'!$G$4,$S305-4,0))</f>
        <v/>
      </c>
      <c r="I305" s="294" t="str">
        <f ca="1">IF(ISERROR($S305),"",OFFSET('Smelter Reference List'!$H$4,$S305-4,0))</f>
        <v/>
      </c>
      <c r="J305" s="294" t="str">
        <f ca="1">IF(ISERROR($S305),"",OFFSET('Smelter Reference List'!$I$4,$S305-4,0))</f>
        <v/>
      </c>
      <c r="K305" s="295"/>
      <c r="L305" s="295"/>
      <c r="M305" s="295"/>
      <c r="N305" s="295"/>
      <c r="O305" s="295"/>
      <c r="P305" s="295"/>
      <c r="Q305" s="296"/>
      <c r="R305" s="227"/>
      <c r="S305" s="228" t="e">
        <f>IF(C305="",NA(),MATCH($B305&amp;$C305,'Smelter Reference List'!$J:$J,0))</f>
        <v>#N/A</v>
      </c>
      <c r="T305" s="229"/>
      <c r="U305" s="229">
        <f t="shared" ca="1" si="10"/>
        <v>0</v>
      </c>
      <c r="V305" s="229"/>
      <c r="W305" s="229"/>
      <c r="Y305" s="223" t="str">
        <f t="shared" si="11"/>
        <v/>
      </c>
    </row>
    <row r="306" spans="1:25" s="223" customFormat="1" ht="20.25">
      <c r="A306" s="291"/>
      <c r="B306" s="292" t="str">
        <f>IF(LEN(A306)=0,"",INDEX('Smelter Reference List'!$A:$A,MATCH($A306,'Smelter Reference List'!$E:$E,0)))</f>
        <v/>
      </c>
      <c r="C306" s="298" t="str">
        <f>IF(LEN(A306)=0,"",INDEX('Smelter Reference List'!$C:$C,MATCH($A306,'Smelter Reference List'!$E:$E,0)))</f>
        <v/>
      </c>
      <c r="D306" s="292" t="str">
        <f ca="1">IF(ISERROR($S306),"",OFFSET('Smelter Reference List'!$C$4,$S306-4,0)&amp;"")</f>
        <v/>
      </c>
      <c r="E306" s="292" t="str">
        <f ca="1">IF(ISERROR($S306),"",OFFSET('Smelter Reference List'!$D$4,$S306-4,0)&amp;"")</f>
        <v/>
      </c>
      <c r="F306" s="292" t="str">
        <f ca="1">IF(ISERROR($S306),"",OFFSET('Smelter Reference List'!$E$4,$S306-4,0))</f>
        <v/>
      </c>
      <c r="G306" s="292" t="str">
        <f ca="1">IF(C306=$U$4,"Enter smelter details", IF(ISERROR($S306),"",OFFSET('Smelter Reference List'!$F$4,$S306-4,0)))</f>
        <v/>
      </c>
      <c r="H306" s="293" t="str">
        <f ca="1">IF(ISERROR($S306),"",OFFSET('Smelter Reference List'!$G$4,$S306-4,0))</f>
        <v/>
      </c>
      <c r="I306" s="294" t="str">
        <f ca="1">IF(ISERROR($S306),"",OFFSET('Smelter Reference List'!$H$4,$S306-4,0))</f>
        <v/>
      </c>
      <c r="J306" s="294" t="str">
        <f ca="1">IF(ISERROR($S306),"",OFFSET('Smelter Reference List'!$I$4,$S306-4,0))</f>
        <v/>
      </c>
      <c r="K306" s="295"/>
      <c r="L306" s="295"/>
      <c r="M306" s="295"/>
      <c r="N306" s="295"/>
      <c r="O306" s="295"/>
      <c r="P306" s="295"/>
      <c r="Q306" s="296"/>
      <c r="R306" s="227"/>
      <c r="S306" s="228" t="e">
        <f>IF(C306="",NA(),MATCH($B306&amp;$C306,'Smelter Reference List'!$J:$J,0))</f>
        <v>#N/A</v>
      </c>
      <c r="T306" s="229"/>
      <c r="U306" s="229">
        <f t="shared" ca="1" si="10"/>
        <v>0</v>
      </c>
      <c r="V306" s="229"/>
      <c r="W306" s="229"/>
      <c r="Y306" s="223" t="str">
        <f t="shared" si="11"/>
        <v/>
      </c>
    </row>
    <row r="307" spans="1:25" s="223" customFormat="1" ht="20.25">
      <c r="A307" s="291"/>
      <c r="B307" s="292" t="str">
        <f>IF(LEN(A307)=0,"",INDEX('Smelter Reference List'!$A:$A,MATCH($A307,'Smelter Reference List'!$E:$E,0)))</f>
        <v/>
      </c>
      <c r="C307" s="298" t="str">
        <f>IF(LEN(A307)=0,"",INDEX('Smelter Reference List'!$C:$C,MATCH($A307,'Smelter Reference List'!$E:$E,0)))</f>
        <v/>
      </c>
      <c r="D307" s="292" t="str">
        <f ca="1">IF(ISERROR($S307),"",OFFSET('Smelter Reference List'!$C$4,$S307-4,0)&amp;"")</f>
        <v/>
      </c>
      <c r="E307" s="292" t="str">
        <f ca="1">IF(ISERROR($S307),"",OFFSET('Smelter Reference List'!$D$4,$S307-4,0)&amp;"")</f>
        <v/>
      </c>
      <c r="F307" s="292" t="str">
        <f ca="1">IF(ISERROR($S307),"",OFFSET('Smelter Reference List'!$E$4,$S307-4,0))</f>
        <v/>
      </c>
      <c r="G307" s="292" t="str">
        <f ca="1">IF(C307=$U$4,"Enter smelter details", IF(ISERROR($S307),"",OFFSET('Smelter Reference List'!$F$4,$S307-4,0)))</f>
        <v/>
      </c>
      <c r="H307" s="293" t="str">
        <f ca="1">IF(ISERROR($S307),"",OFFSET('Smelter Reference List'!$G$4,$S307-4,0))</f>
        <v/>
      </c>
      <c r="I307" s="294" t="str">
        <f ca="1">IF(ISERROR($S307),"",OFFSET('Smelter Reference List'!$H$4,$S307-4,0))</f>
        <v/>
      </c>
      <c r="J307" s="294" t="str">
        <f ca="1">IF(ISERROR($S307),"",OFFSET('Smelter Reference List'!$I$4,$S307-4,0))</f>
        <v/>
      </c>
      <c r="K307" s="295"/>
      <c r="L307" s="295"/>
      <c r="M307" s="295"/>
      <c r="N307" s="295"/>
      <c r="O307" s="295"/>
      <c r="P307" s="295"/>
      <c r="Q307" s="296"/>
      <c r="R307" s="227"/>
      <c r="S307" s="228" t="e">
        <f>IF(C307="",NA(),MATCH($B307&amp;$C307,'Smelter Reference List'!$J:$J,0))</f>
        <v>#N/A</v>
      </c>
      <c r="T307" s="229"/>
      <c r="U307" s="229">
        <f t="shared" ca="1" si="10"/>
        <v>0</v>
      </c>
      <c r="V307" s="229"/>
      <c r="W307" s="229"/>
      <c r="Y307" s="223" t="str">
        <f t="shared" si="11"/>
        <v/>
      </c>
    </row>
    <row r="308" spans="1:25" s="223" customFormat="1" ht="20.25">
      <c r="A308" s="291"/>
      <c r="B308" s="292" t="str">
        <f>IF(LEN(A308)=0,"",INDEX('Smelter Reference List'!$A:$A,MATCH($A308,'Smelter Reference List'!$E:$E,0)))</f>
        <v/>
      </c>
      <c r="C308" s="298" t="str">
        <f>IF(LEN(A308)=0,"",INDEX('Smelter Reference List'!$C:$C,MATCH($A308,'Smelter Reference List'!$E:$E,0)))</f>
        <v/>
      </c>
      <c r="D308" s="292" t="str">
        <f ca="1">IF(ISERROR($S308),"",OFFSET('Smelter Reference List'!$C$4,$S308-4,0)&amp;"")</f>
        <v/>
      </c>
      <c r="E308" s="292" t="str">
        <f ca="1">IF(ISERROR($S308),"",OFFSET('Smelter Reference List'!$D$4,$S308-4,0)&amp;"")</f>
        <v/>
      </c>
      <c r="F308" s="292" t="str">
        <f ca="1">IF(ISERROR($S308),"",OFFSET('Smelter Reference List'!$E$4,$S308-4,0))</f>
        <v/>
      </c>
      <c r="G308" s="292" t="str">
        <f ca="1">IF(C308=$U$4,"Enter smelter details", IF(ISERROR($S308),"",OFFSET('Smelter Reference List'!$F$4,$S308-4,0)))</f>
        <v/>
      </c>
      <c r="H308" s="293" t="str">
        <f ca="1">IF(ISERROR($S308),"",OFFSET('Smelter Reference List'!$G$4,$S308-4,0))</f>
        <v/>
      </c>
      <c r="I308" s="294" t="str">
        <f ca="1">IF(ISERROR($S308),"",OFFSET('Smelter Reference List'!$H$4,$S308-4,0))</f>
        <v/>
      </c>
      <c r="J308" s="294" t="str">
        <f ca="1">IF(ISERROR($S308),"",OFFSET('Smelter Reference List'!$I$4,$S308-4,0))</f>
        <v/>
      </c>
      <c r="K308" s="295"/>
      <c r="L308" s="295"/>
      <c r="M308" s="295"/>
      <c r="N308" s="295"/>
      <c r="O308" s="295"/>
      <c r="P308" s="295"/>
      <c r="Q308" s="296"/>
      <c r="R308" s="227"/>
      <c r="S308" s="228" t="e">
        <f>IF(C308="",NA(),MATCH($B308&amp;$C308,'Smelter Reference List'!$J:$J,0))</f>
        <v>#N/A</v>
      </c>
      <c r="T308" s="229"/>
      <c r="U308" s="229">
        <f t="shared" ca="1" si="10"/>
        <v>0</v>
      </c>
      <c r="V308" s="229"/>
      <c r="W308" s="229"/>
      <c r="Y308" s="223" t="str">
        <f t="shared" si="11"/>
        <v/>
      </c>
    </row>
    <row r="309" spans="1:25" s="223" customFormat="1" ht="20.25">
      <c r="A309" s="291"/>
      <c r="B309" s="292" t="str">
        <f>IF(LEN(A309)=0,"",INDEX('Smelter Reference List'!$A:$A,MATCH($A309,'Smelter Reference List'!$E:$E,0)))</f>
        <v/>
      </c>
      <c r="C309" s="298" t="str">
        <f>IF(LEN(A309)=0,"",INDEX('Smelter Reference List'!$C:$C,MATCH($A309,'Smelter Reference List'!$E:$E,0)))</f>
        <v/>
      </c>
      <c r="D309" s="292" t="str">
        <f ca="1">IF(ISERROR($S309),"",OFFSET('Smelter Reference List'!$C$4,$S309-4,0)&amp;"")</f>
        <v/>
      </c>
      <c r="E309" s="292" t="str">
        <f ca="1">IF(ISERROR($S309),"",OFFSET('Smelter Reference List'!$D$4,$S309-4,0)&amp;"")</f>
        <v/>
      </c>
      <c r="F309" s="292" t="str">
        <f ca="1">IF(ISERROR($S309),"",OFFSET('Smelter Reference List'!$E$4,$S309-4,0))</f>
        <v/>
      </c>
      <c r="G309" s="292" t="str">
        <f ca="1">IF(C309=$U$4,"Enter smelter details", IF(ISERROR($S309),"",OFFSET('Smelter Reference List'!$F$4,$S309-4,0)))</f>
        <v/>
      </c>
      <c r="H309" s="293" t="str">
        <f ca="1">IF(ISERROR($S309),"",OFFSET('Smelter Reference List'!$G$4,$S309-4,0))</f>
        <v/>
      </c>
      <c r="I309" s="294" t="str">
        <f ca="1">IF(ISERROR($S309),"",OFFSET('Smelter Reference List'!$H$4,$S309-4,0))</f>
        <v/>
      </c>
      <c r="J309" s="294" t="str">
        <f ca="1">IF(ISERROR($S309),"",OFFSET('Smelter Reference List'!$I$4,$S309-4,0))</f>
        <v/>
      </c>
      <c r="K309" s="295"/>
      <c r="L309" s="295"/>
      <c r="M309" s="295"/>
      <c r="N309" s="295"/>
      <c r="O309" s="295"/>
      <c r="P309" s="295"/>
      <c r="Q309" s="296"/>
      <c r="R309" s="227"/>
      <c r="S309" s="228" t="e">
        <f>IF(C309="",NA(),MATCH($B309&amp;$C309,'Smelter Reference List'!$J:$J,0))</f>
        <v>#N/A</v>
      </c>
      <c r="T309" s="229"/>
      <c r="U309" s="229">
        <f t="shared" ca="1" si="10"/>
        <v>0</v>
      </c>
      <c r="V309" s="229"/>
      <c r="W309" s="229"/>
      <c r="Y309" s="223" t="str">
        <f t="shared" si="11"/>
        <v/>
      </c>
    </row>
    <row r="310" spans="1:25" s="223" customFormat="1" ht="20.25">
      <c r="A310" s="291"/>
      <c r="B310" s="292" t="str">
        <f>IF(LEN(A310)=0,"",INDEX('Smelter Reference List'!$A:$A,MATCH($A310,'Smelter Reference List'!$E:$E,0)))</f>
        <v/>
      </c>
      <c r="C310" s="298" t="str">
        <f>IF(LEN(A310)=0,"",INDEX('Smelter Reference List'!$C:$C,MATCH($A310,'Smelter Reference List'!$E:$E,0)))</f>
        <v/>
      </c>
      <c r="D310" s="292" t="str">
        <f ca="1">IF(ISERROR($S310),"",OFFSET('Smelter Reference List'!$C$4,$S310-4,0)&amp;"")</f>
        <v/>
      </c>
      <c r="E310" s="292" t="str">
        <f ca="1">IF(ISERROR($S310),"",OFFSET('Smelter Reference List'!$D$4,$S310-4,0)&amp;"")</f>
        <v/>
      </c>
      <c r="F310" s="292" t="str">
        <f ca="1">IF(ISERROR($S310),"",OFFSET('Smelter Reference List'!$E$4,$S310-4,0))</f>
        <v/>
      </c>
      <c r="G310" s="292" t="str">
        <f ca="1">IF(C310=$U$4,"Enter smelter details", IF(ISERROR($S310),"",OFFSET('Smelter Reference List'!$F$4,$S310-4,0)))</f>
        <v/>
      </c>
      <c r="H310" s="293" t="str">
        <f ca="1">IF(ISERROR($S310),"",OFFSET('Smelter Reference List'!$G$4,$S310-4,0))</f>
        <v/>
      </c>
      <c r="I310" s="294" t="str">
        <f ca="1">IF(ISERROR($S310),"",OFFSET('Smelter Reference List'!$H$4,$S310-4,0))</f>
        <v/>
      </c>
      <c r="J310" s="294" t="str">
        <f ca="1">IF(ISERROR($S310),"",OFFSET('Smelter Reference List'!$I$4,$S310-4,0))</f>
        <v/>
      </c>
      <c r="K310" s="295"/>
      <c r="L310" s="295"/>
      <c r="M310" s="295"/>
      <c r="N310" s="295"/>
      <c r="O310" s="295"/>
      <c r="P310" s="295"/>
      <c r="Q310" s="296"/>
      <c r="R310" s="227"/>
      <c r="S310" s="228" t="e">
        <f>IF(C310="",NA(),MATCH($B310&amp;$C310,'Smelter Reference List'!$J:$J,0))</f>
        <v>#N/A</v>
      </c>
      <c r="T310" s="229"/>
      <c r="U310" s="229">
        <f t="shared" ca="1" si="10"/>
        <v>0</v>
      </c>
      <c r="V310" s="229"/>
      <c r="W310" s="229"/>
      <c r="Y310" s="223" t="str">
        <f t="shared" si="11"/>
        <v/>
      </c>
    </row>
    <row r="311" spans="1:25" s="223" customFormat="1" ht="20.25">
      <c r="A311" s="291"/>
      <c r="B311" s="292" t="str">
        <f>IF(LEN(A311)=0,"",INDEX('Smelter Reference List'!$A:$A,MATCH($A311,'Smelter Reference List'!$E:$E,0)))</f>
        <v/>
      </c>
      <c r="C311" s="298" t="str">
        <f>IF(LEN(A311)=0,"",INDEX('Smelter Reference List'!$C:$C,MATCH($A311,'Smelter Reference List'!$E:$E,0)))</f>
        <v/>
      </c>
      <c r="D311" s="292" t="str">
        <f ca="1">IF(ISERROR($S311),"",OFFSET('Smelter Reference List'!$C$4,$S311-4,0)&amp;"")</f>
        <v/>
      </c>
      <c r="E311" s="292" t="str">
        <f ca="1">IF(ISERROR($S311),"",OFFSET('Smelter Reference List'!$D$4,$S311-4,0)&amp;"")</f>
        <v/>
      </c>
      <c r="F311" s="292" t="str">
        <f ca="1">IF(ISERROR($S311),"",OFFSET('Smelter Reference List'!$E$4,$S311-4,0))</f>
        <v/>
      </c>
      <c r="G311" s="292" t="str">
        <f ca="1">IF(C311=$U$4,"Enter smelter details", IF(ISERROR($S311),"",OFFSET('Smelter Reference List'!$F$4,$S311-4,0)))</f>
        <v/>
      </c>
      <c r="H311" s="293" t="str">
        <f ca="1">IF(ISERROR($S311),"",OFFSET('Smelter Reference List'!$G$4,$S311-4,0))</f>
        <v/>
      </c>
      <c r="I311" s="294" t="str">
        <f ca="1">IF(ISERROR($S311),"",OFFSET('Smelter Reference List'!$H$4,$S311-4,0))</f>
        <v/>
      </c>
      <c r="J311" s="294" t="str">
        <f ca="1">IF(ISERROR($S311),"",OFFSET('Smelter Reference List'!$I$4,$S311-4,0))</f>
        <v/>
      </c>
      <c r="K311" s="295"/>
      <c r="L311" s="295"/>
      <c r="M311" s="295"/>
      <c r="N311" s="295"/>
      <c r="O311" s="295"/>
      <c r="P311" s="295"/>
      <c r="Q311" s="296"/>
      <c r="R311" s="227"/>
      <c r="S311" s="228" t="e">
        <f>IF(C311="",NA(),MATCH($B311&amp;$C311,'Smelter Reference List'!$J:$J,0))</f>
        <v>#N/A</v>
      </c>
      <c r="T311" s="229"/>
      <c r="U311" s="229">
        <f t="shared" ca="1" si="10"/>
        <v>0</v>
      </c>
      <c r="V311" s="229"/>
      <c r="W311" s="229"/>
      <c r="Y311" s="223" t="str">
        <f t="shared" si="11"/>
        <v/>
      </c>
    </row>
    <row r="312" spans="1:25" s="223" customFormat="1" ht="20.25">
      <c r="A312" s="291"/>
      <c r="B312" s="292" t="str">
        <f>IF(LEN(A312)=0,"",INDEX('Smelter Reference List'!$A:$A,MATCH($A312,'Smelter Reference List'!$E:$E,0)))</f>
        <v/>
      </c>
      <c r="C312" s="298" t="str">
        <f>IF(LEN(A312)=0,"",INDEX('Smelter Reference List'!$C:$C,MATCH($A312,'Smelter Reference List'!$E:$E,0)))</f>
        <v/>
      </c>
      <c r="D312" s="292" t="str">
        <f ca="1">IF(ISERROR($S312),"",OFFSET('Smelter Reference List'!$C$4,$S312-4,0)&amp;"")</f>
        <v/>
      </c>
      <c r="E312" s="292" t="str">
        <f ca="1">IF(ISERROR($S312),"",OFFSET('Smelter Reference List'!$D$4,$S312-4,0)&amp;"")</f>
        <v/>
      </c>
      <c r="F312" s="292" t="str">
        <f ca="1">IF(ISERROR($S312),"",OFFSET('Smelter Reference List'!$E$4,$S312-4,0))</f>
        <v/>
      </c>
      <c r="G312" s="292" t="str">
        <f ca="1">IF(C312=$U$4,"Enter smelter details", IF(ISERROR($S312),"",OFFSET('Smelter Reference List'!$F$4,$S312-4,0)))</f>
        <v/>
      </c>
      <c r="H312" s="293" t="str">
        <f ca="1">IF(ISERROR($S312),"",OFFSET('Smelter Reference List'!$G$4,$S312-4,0))</f>
        <v/>
      </c>
      <c r="I312" s="294" t="str">
        <f ca="1">IF(ISERROR($S312),"",OFFSET('Smelter Reference List'!$H$4,$S312-4,0))</f>
        <v/>
      </c>
      <c r="J312" s="294" t="str">
        <f ca="1">IF(ISERROR($S312),"",OFFSET('Smelter Reference List'!$I$4,$S312-4,0))</f>
        <v/>
      </c>
      <c r="K312" s="295"/>
      <c r="L312" s="295"/>
      <c r="M312" s="295"/>
      <c r="N312" s="295"/>
      <c r="O312" s="295"/>
      <c r="P312" s="295"/>
      <c r="Q312" s="296"/>
      <c r="R312" s="227"/>
      <c r="S312" s="228" t="e">
        <f>IF(C312="",NA(),MATCH($B312&amp;$C312,'Smelter Reference List'!$J:$J,0))</f>
        <v>#N/A</v>
      </c>
      <c r="T312" s="229"/>
      <c r="U312" s="229">
        <f t="shared" ca="1" si="10"/>
        <v>0</v>
      </c>
      <c r="V312" s="229"/>
      <c r="W312" s="229"/>
      <c r="Y312" s="223" t="str">
        <f t="shared" si="11"/>
        <v/>
      </c>
    </row>
    <row r="313" spans="1:25" s="223" customFormat="1" ht="20.25">
      <c r="A313" s="291"/>
      <c r="B313" s="292" t="str">
        <f>IF(LEN(A313)=0,"",INDEX('Smelter Reference List'!$A:$A,MATCH($A313,'Smelter Reference List'!$E:$E,0)))</f>
        <v/>
      </c>
      <c r="C313" s="298" t="str">
        <f>IF(LEN(A313)=0,"",INDEX('Smelter Reference List'!$C:$C,MATCH($A313,'Smelter Reference List'!$E:$E,0)))</f>
        <v/>
      </c>
      <c r="D313" s="292" t="str">
        <f ca="1">IF(ISERROR($S313),"",OFFSET('Smelter Reference List'!$C$4,$S313-4,0)&amp;"")</f>
        <v/>
      </c>
      <c r="E313" s="292" t="str">
        <f ca="1">IF(ISERROR($S313),"",OFFSET('Smelter Reference List'!$D$4,$S313-4,0)&amp;"")</f>
        <v/>
      </c>
      <c r="F313" s="292" t="str">
        <f ca="1">IF(ISERROR($S313),"",OFFSET('Smelter Reference List'!$E$4,$S313-4,0))</f>
        <v/>
      </c>
      <c r="G313" s="292" t="str">
        <f ca="1">IF(C313=$U$4,"Enter smelter details", IF(ISERROR($S313),"",OFFSET('Smelter Reference List'!$F$4,$S313-4,0)))</f>
        <v/>
      </c>
      <c r="H313" s="293" t="str">
        <f ca="1">IF(ISERROR($S313),"",OFFSET('Smelter Reference List'!$G$4,$S313-4,0))</f>
        <v/>
      </c>
      <c r="I313" s="294" t="str">
        <f ca="1">IF(ISERROR($S313),"",OFFSET('Smelter Reference List'!$H$4,$S313-4,0))</f>
        <v/>
      </c>
      <c r="J313" s="294" t="str">
        <f ca="1">IF(ISERROR($S313),"",OFFSET('Smelter Reference List'!$I$4,$S313-4,0))</f>
        <v/>
      </c>
      <c r="K313" s="295"/>
      <c r="L313" s="295"/>
      <c r="M313" s="295"/>
      <c r="N313" s="295"/>
      <c r="O313" s="295"/>
      <c r="P313" s="295"/>
      <c r="Q313" s="296"/>
      <c r="R313" s="227"/>
      <c r="S313" s="228" t="e">
        <f>IF(C313="",NA(),MATCH($B313&amp;$C313,'Smelter Reference List'!$J:$J,0))</f>
        <v>#N/A</v>
      </c>
      <c r="T313" s="229"/>
      <c r="U313" s="229">
        <f t="shared" ca="1" si="10"/>
        <v>0</v>
      </c>
      <c r="V313" s="229"/>
      <c r="W313" s="229"/>
      <c r="Y313" s="223" t="str">
        <f t="shared" si="11"/>
        <v/>
      </c>
    </row>
    <row r="314" spans="1:25" s="223" customFormat="1" ht="20.25">
      <c r="A314" s="291"/>
      <c r="B314" s="292" t="str">
        <f>IF(LEN(A314)=0,"",INDEX('Smelter Reference List'!$A:$A,MATCH($A314,'Smelter Reference List'!$E:$E,0)))</f>
        <v/>
      </c>
      <c r="C314" s="298" t="str">
        <f>IF(LEN(A314)=0,"",INDEX('Smelter Reference List'!$C:$C,MATCH($A314,'Smelter Reference List'!$E:$E,0)))</f>
        <v/>
      </c>
      <c r="D314" s="292" t="str">
        <f ca="1">IF(ISERROR($S314),"",OFFSET('Smelter Reference List'!$C$4,$S314-4,0)&amp;"")</f>
        <v/>
      </c>
      <c r="E314" s="292" t="str">
        <f ca="1">IF(ISERROR($S314),"",OFFSET('Smelter Reference List'!$D$4,$S314-4,0)&amp;"")</f>
        <v/>
      </c>
      <c r="F314" s="292" t="str">
        <f ca="1">IF(ISERROR($S314),"",OFFSET('Smelter Reference List'!$E$4,$S314-4,0))</f>
        <v/>
      </c>
      <c r="G314" s="292" t="str">
        <f ca="1">IF(C314=$U$4,"Enter smelter details", IF(ISERROR($S314),"",OFFSET('Smelter Reference List'!$F$4,$S314-4,0)))</f>
        <v/>
      </c>
      <c r="H314" s="293" t="str">
        <f ca="1">IF(ISERROR($S314),"",OFFSET('Smelter Reference List'!$G$4,$S314-4,0))</f>
        <v/>
      </c>
      <c r="I314" s="294" t="str">
        <f ca="1">IF(ISERROR($S314),"",OFFSET('Smelter Reference List'!$H$4,$S314-4,0))</f>
        <v/>
      </c>
      <c r="J314" s="294" t="str">
        <f ca="1">IF(ISERROR($S314),"",OFFSET('Smelter Reference List'!$I$4,$S314-4,0))</f>
        <v/>
      </c>
      <c r="K314" s="295"/>
      <c r="L314" s="295"/>
      <c r="M314" s="295"/>
      <c r="N314" s="295"/>
      <c r="O314" s="295"/>
      <c r="P314" s="295"/>
      <c r="Q314" s="296"/>
      <c r="R314" s="227"/>
      <c r="S314" s="228" t="e">
        <f>IF(C314="",NA(),MATCH($B314&amp;$C314,'Smelter Reference List'!$J:$J,0))</f>
        <v>#N/A</v>
      </c>
      <c r="T314" s="229"/>
      <c r="U314" s="229">
        <f t="shared" ca="1" si="10"/>
        <v>0</v>
      </c>
      <c r="V314" s="229"/>
      <c r="W314" s="229"/>
      <c r="Y314" s="223" t="str">
        <f t="shared" si="11"/>
        <v/>
      </c>
    </row>
    <row r="315" spans="1:25" s="223" customFormat="1" ht="20.25">
      <c r="A315" s="291"/>
      <c r="B315" s="292" t="str">
        <f>IF(LEN(A315)=0,"",INDEX('Smelter Reference List'!$A:$A,MATCH($A315,'Smelter Reference List'!$E:$E,0)))</f>
        <v/>
      </c>
      <c r="C315" s="298" t="str">
        <f>IF(LEN(A315)=0,"",INDEX('Smelter Reference List'!$C:$C,MATCH($A315,'Smelter Reference List'!$E:$E,0)))</f>
        <v/>
      </c>
      <c r="D315" s="292" t="str">
        <f ca="1">IF(ISERROR($S315),"",OFFSET('Smelter Reference List'!$C$4,$S315-4,0)&amp;"")</f>
        <v/>
      </c>
      <c r="E315" s="292" t="str">
        <f ca="1">IF(ISERROR($S315),"",OFFSET('Smelter Reference List'!$D$4,$S315-4,0)&amp;"")</f>
        <v/>
      </c>
      <c r="F315" s="292" t="str">
        <f ca="1">IF(ISERROR($S315),"",OFFSET('Smelter Reference List'!$E$4,$S315-4,0))</f>
        <v/>
      </c>
      <c r="G315" s="292" t="str">
        <f ca="1">IF(C315=$U$4,"Enter smelter details", IF(ISERROR($S315),"",OFFSET('Smelter Reference List'!$F$4,$S315-4,0)))</f>
        <v/>
      </c>
      <c r="H315" s="293" t="str">
        <f ca="1">IF(ISERROR($S315),"",OFFSET('Smelter Reference List'!$G$4,$S315-4,0))</f>
        <v/>
      </c>
      <c r="I315" s="294" t="str">
        <f ca="1">IF(ISERROR($S315),"",OFFSET('Smelter Reference List'!$H$4,$S315-4,0))</f>
        <v/>
      </c>
      <c r="J315" s="294" t="str">
        <f ca="1">IF(ISERROR($S315),"",OFFSET('Smelter Reference List'!$I$4,$S315-4,0))</f>
        <v/>
      </c>
      <c r="K315" s="295"/>
      <c r="L315" s="295"/>
      <c r="M315" s="295"/>
      <c r="N315" s="295"/>
      <c r="O315" s="295"/>
      <c r="P315" s="295"/>
      <c r="Q315" s="296"/>
      <c r="R315" s="227"/>
      <c r="S315" s="228" t="e">
        <f>IF(C315="",NA(),MATCH($B315&amp;$C315,'Smelter Reference List'!$J:$J,0))</f>
        <v>#N/A</v>
      </c>
      <c r="T315" s="229"/>
      <c r="U315" s="229">
        <f t="shared" ca="1" si="10"/>
        <v>0</v>
      </c>
      <c r="V315" s="229"/>
      <c r="W315" s="229"/>
      <c r="Y315" s="223" t="str">
        <f t="shared" si="11"/>
        <v/>
      </c>
    </row>
    <row r="316" spans="1:25" s="223" customFormat="1" ht="20.25">
      <c r="A316" s="291"/>
      <c r="B316" s="292" t="str">
        <f>IF(LEN(A316)=0,"",INDEX('Smelter Reference List'!$A:$A,MATCH($A316,'Smelter Reference List'!$E:$E,0)))</f>
        <v/>
      </c>
      <c r="C316" s="298" t="str">
        <f>IF(LEN(A316)=0,"",INDEX('Smelter Reference List'!$C:$C,MATCH($A316,'Smelter Reference List'!$E:$E,0)))</f>
        <v/>
      </c>
      <c r="D316" s="292" t="str">
        <f ca="1">IF(ISERROR($S316),"",OFFSET('Smelter Reference List'!$C$4,$S316-4,0)&amp;"")</f>
        <v/>
      </c>
      <c r="E316" s="292" t="str">
        <f ca="1">IF(ISERROR($S316),"",OFFSET('Smelter Reference List'!$D$4,$S316-4,0)&amp;"")</f>
        <v/>
      </c>
      <c r="F316" s="292" t="str">
        <f ca="1">IF(ISERROR($S316),"",OFFSET('Smelter Reference List'!$E$4,$S316-4,0))</f>
        <v/>
      </c>
      <c r="G316" s="292" t="str">
        <f ca="1">IF(C316=$U$4,"Enter smelter details", IF(ISERROR($S316),"",OFFSET('Smelter Reference List'!$F$4,$S316-4,0)))</f>
        <v/>
      </c>
      <c r="H316" s="293" t="str">
        <f ca="1">IF(ISERROR($S316),"",OFFSET('Smelter Reference List'!$G$4,$S316-4,0))</f>
        <v/>
      </c>
      <c r="I316" s="294" t="str">
        <f ca="1">IF(ISERROR($S316),"",OFFSET('Smelter Reference List'!$H$4,$S316-4,0))</f>
        <v/>
      </c>
      <c r="J316" s="294" t="str">
        <f ca="1">IF(ISERROR($S316),"",OFFSET('Smelter Reference List'!$I$4,$S316-4,0))</f>
        <v/>
      </c>
      <c r="K316" s="295"/>
      <c r="L316" s="295"/>
      <c r="M316" s="295"/>
      <c r="N316" s="295"/>
      <c r="O316" s="295"/>
      <c r="P316" s="295"/>
      <c r="Q316" s="296"/>
      <c r="R316" s="227"/>
      <c r="S316" s="228" t="e">
        <f>IF(C316="",NA(),MATCH($B316&amp;$C316,'Smelter Reference List'!$J:$J,0))</f>
        <v>#N/A</v>
      </c>
      <c r="T316" s="229"/>
      <c r="U316" s="229">
        <f t="shared" ca="1" si="10"/>
        <v>0</v>
      </c>
      <c r="V316" s="229"/>
      <c r="W316" s="229"/>
      <c r="Y316" s="223" t="str">
        <f t="shared" si="11"/>
        <v/>
      </c>
    </row>
    <row r="317" spans="1:25" s="223" customFormat="1" ht="20.25">
      <c r="A317" s="291"/>
      <c r="B317" s="292" t="str">
        <f>IF(LEN(A317)=0,"",INDEX('Smelter Reference List'!$A:$A,MATCH($A317,'Smelter Reference List'!$E:$E,0)))</f>
        <v/>
      </c>
      <c r="C317" s="298" t="str">
        <f>IF(LEN(A317)=0,"",INDEX('Smelter Reference List'!$C:$C,MATCH($A317,'Smelter Reference List'!$E:$E,0)))</f>
        <v/>
      </c>
      <c r="D317" s="292" t="str">
        <f ca="1">IF(ISERROR($S317),"",OFFSET('Smelter Reference List'!$C$4,$S317-4,0)&amp;"")</f>
        <v/>
      </c>
      <c r="E317" s="292" t="str">
        <f ca="1">IF(ISERROR($S317),"",OFFSET('Smelter Reference List'!$D$4,$S317-4,0)&amp;"")</f>
        <v/>
      </c>
      <c r="F317" s="292" t="str">
        <f ca="1">IF(ISERROR($S317),"",OFFSET('Smelter Reference List'!$E$4,$S317-4,0))</f>
        <v/>
      </c>
      <c r="G317" s="292" t="str">
        <f ca="1">IF(C317=$U$4,"Enter smelter details", IF(ISERROR($S317),"",OFFSET('Smelter Reference List'!$F$4,$S317-4,0)))</f>
        <v/>
      </c>
      <c r="H317" s="293" t="str">
        <f ca="1">IF(ISERROR($S317),"",OFFSET('Smelter Reference List'!$G$4,$S317-4,0))</f>
        <v/>
      </c>
      <c r="I317" s="294" t="str">
        <f ca="1">IF(ISERROR($S317),"",OFFSET('Smelter Reference List'!$H$4,$S317-4,0))</f>
        <v/>
      </c>
      <c r="J317" s="294" t="str">
        <f ca="1">IF(ISERROR($S317),"",OFFSET('Smelter Reference List'!$I$4,$S317-4,0))</f>
        <v/>
      </c>
      <c r="K317" s="295"/>
      <c r="L317" s="295"/>
      <c r="M317" s="295"/>
      <c r="N317" s="295"/>
      <c r="O317" s="295"/>
      <c r="P317" s="295"/>
      <c r="Q317" s="296"/>
      <c r="R317" s="227"/>
      <c r="S317" s="228" t="e">
        <f>IF(C317="",NA(),MATCH($B317&amp;$C317,'Smelter Reference List'!$J:$J,0))</f>
        <v>#N/A</v>
      </c>
      <c r="T317" s="229"/>
      <c r="U317" s="229">
        <f t="shared" ca="1" si="10"/>
        <v>0</v>
      </c>
      <c r="V317" s="229"/>
      <c r="W317" s="229"/>
      <c r="Y317" s="223" t="str">
        <f t="shared" si="11"/>
        <v/>
      </c>
    </row>
    <row r="318" spans="1:25" s="223" customFormat="1" ht="20.25">
      <c r="A318" s="291"/>
      <c r="B318" s="292" t="str">
        <f>IF(LEN(A318)=0,"",INDEX('Smelter Reference List'!$A:$A,MATCH($A318,'Smelter Reference List'!$E:$E,0)))</f>
        <v/>
      </c>
      <c r="C318" s="298" t="str">
        <f>IF(LEN(A318)=0,"",INDEX('Smelter Reference List'!$C:$C,MATCH($A318,'Smelter Reference List'!$E:$E,0)))</f>
        <v/>
      </c>
      <c r="D318" s="292" t="str">
        <f ca="1">IF(ISERROR($S318),"",OFFSET('Smelter Reference List'!$C$4,$S318-4,0)&amp;"")</f>
        <v/>
      </c>
      <c r="E318" s="292" t="str">
        <f ca="1">IF(ISERROR($S318),"",OFFSET('Smelter Reference List'!$D$4,$S318-4,0)&amp;"")</f>
        <v/>
      </c>
      <c r="F318" s="292" t="str">
        <f ca="1">IF(ISERROR($S318),"",OFFSET('Smelter Reference List'!$E$4,$S318-4,0))</f>
        <v/>
      </c>
      <c r="G318" s="292" t="str">
        <f ca="1">IF(C318=$U$4,"Enter smelter details", IF(ISERROR($S318),"",OFFSET('Smelter Reference List'!$F$4,$S318-4,0)))</f>
        <v/>
      </c>
      <c r="H318" s="293" t="str">
        <f ca="1">IF(ISERROR($S318),"",OFFSET('Smelter Reference List'!$G$4,$S318-4,0))</f>
        <v/>
      </c>
      <c r="I318" s="294" t="str">
        <f ca="1">IF(ISERROR($S318),"",OFFSET('Smelter Reference List'!$H$4,$S318-4,0))</f>
        <v/>
      </c>
      <c r="J318" s="294" t="str">
        <f ca="1">IF(ISERROR($S318),"",OFFSET('Smelter Reference List'!$I$4,$S318-4,0))</f>
        <v/>
      </c>
      <c r="K318" s="295"/>
      <c r="L318" s="295"/>
      <c r="M318" s="295"/>
      <c r="N318" s="295"/>
      <c r="O318" s="295"/>
      <c r="P318" s="295"/>
      <c r="Q318" s="296"/>
      <c r="R318" s="227"/>
      <c r="S318" s="228" t="e">
        <f>IF(C318="",NA(),MATCH($B318&amp;$C318,'Smelter Reference List'!$J:$J,0))</f>
        <v>#N/A</v>
      </c>
      <c r="T318" s="229"/>
      <c r="U318" s="229">
        <f t="shared" ca="1" si="10"/>
        <v>0</v>
      </c>
      <c r="V318" s="229"/>
      <c r="W318" s="229"/>
      <c r="Y318" s="223" t="str">
        <f t="shared" si="11"/>
        <v/>
      </c>
    </row>
    <row r="319" spans="1:25" s="223" customFormat="1" ht="20.25">
      <c r="A319" s="291"/>
      <c r="B319" s="292" t="str">
        <f>IF(LEN(A319)=0,"",INDEX('Smelter Reference List'!$A:$A,MATCH($A319,'Smelter Reference List'!$E:$E,0)))</f>
        <v/>
      </c>
      <c r="C319" s="298" t="str">
        <f>IF(LEN(A319)=0,"",INDEX('Smelter Reference List'!$C:$C,MATCH($A319,'Smelter Reference List'!$E:$E,0)))</f>
        <v/>
      </c>
      <c r="D319" s="292" t="str">
        <f ca="1">IF(ISERROR($S319),"",OFFSET('Smelter Reference List'!$C$4,$S319-4,0)&amp;"")</f>
        <v/>
      </c>
      <c r="E319" s="292" t="str">
        <f ca="1">IF(ISERROR($S319),"",OFFSET('Smelter Reference List'!$D$4,$S319-4,0)&amp;"")</f>
        <v/>
      </c>
      <c r="F319" s="292" t="str">
        <f ca="1">IF(ISERROR($S319),"",OFFSET('Smelter Reference List'!$E$4,$S319-4,0))</f>
        <v/>
      </c>
      <c r="G319" s="292" t="str">
        <f ca="1">IF(C319=$U$4,"Enter smelter details", IF(ISERROR($S319),"",OFFSET('Smelter Reference List'!$F$4,$S319-4,0)))</f>
        <v/>
      </c>
      <c r="H319" s="293" t="str">
        <f ca="1">IF(ISERROR($S319),"",OFFSET('Smelter Reference List'!$G$4,$S319-4,0))</f>
        <v/>
      </c>
      <c r="I319" s="294" t="str">
        <f ca="1">IF(ISERROR($S319),"",OFFSET('Smelter Reference List'!$H$4,$S319-4,0))</f>
        <v/>
      </c>
      <c r="J319" s="294" t="str">
        <f ca="1">IF(ISERROR($S319),"",OFFSET('Smelter Reference List'!$I$4,$S319-4,0))</f>
        <v/>
      </c>
      <c r="K319" s="295"/>
      <c r="L319" s="295"/>
      <c r="M319" s="295"/>
      <c r="N319" s="295"/>
      <c r="O319" s="295"/>
      <c r="P319" s="295"/>
      <c r="Q319" s="296"/>
      <c r="R319" s="227"/>
      <c r="S319" s="228" t="e">
        <f>IF(C319="",NA(),MATCH($B319&amp;$C319,'Smelter Reference List'!$J:$J,0))</f>
        <v>#N/A</v>
      </c>
      <c r="T319" s="229"/>
      <c r="U319" s="229">
        <f t="shared" ca="1" si="10"/>
        <v>0</v>
      </c>
      <c r="V319" s="229"/>
      <c r="W319" s="229"/>
      <c r="Y319" s="223" t="str">
        <f t="shared" si="11"/>
        <v/>
      </c>
    </row>
    <row r="320" spans="1:25" s="223" customFormat="1" ht="20.25">
      <c r="A320" s="291"/>
      <c r="B320" s="292" t="str">
        <f>IF(LEN(A320)=0,"",INDEX('Smelter Reference List'!$A:$A,MATCH($A320,'Smelter Reference List'!$E:$E,0)))</f>
        <v/>
      </c>
      <c r="C320" s="298" t="str">
        <f>IF(LEN(A320)=0,"",INDEX('Smelter Reference List'!$C:$C,MATCH($A320,'Smelter Reference List'!$E:$E,0)))</f>
        <v/>
      </c>
      <c r="D320" s="292" t="str">
        <f ca="1">IF(ISERROR($S320),"",OFFSET('Smelter Reference List'!$C$4,$S320-4,0)&amp;"")</f>
        <v/>
      </c>
      <c r="E320" s="292" t="str">
        <f ca="1">IF(ISERROR($S320),"",OFFSET('Smelter Reference List'!$D$4,$S320-4,0)&amp;"")</f>
        <v/>
      </c>
      <c r="F320" s="292" t="str">
        <f ca="1">IF(ISERROR($S320),"",OFFSET('Smelter Reference List'!$E$4,$S320-4,0))</f>
        <v/>
      </c>
      <c r="G320" s="292" t="str">
        <f ca="1">IF(C320=$U$4,"Enter smelter details", IF(ISERROR($S320),"",OFFSET('Smelter Reference List'!$F$4,$S320-4,0)))</f>
        <v/>
      </c>
      <c r="H320" s="293" t="str">
        <f ca="1">IF(ISERROR($S320),"",OFFSET('Smelter Reference List'!$G$4,$S320-4,0))</f>
        <v/>
      </c>
      <c r="I320" s="294" t="str">
        <f ca="1">IF(ISERROR($S320),"",OFFSET('Smelter Reference List'!$H$4,$S320-4,0))</f>
        <v/>
      </c>
      <c r="J320" s="294" t="str">
        <f ca="1">IF(ISERROR($S320),"",OFFSET('Smelter Reference List'!$I$4,$S320-4,0))</f>
        <v/>
      </c>
      <c r="K320" s="295"/>
      <c r="L320" s="295"/>
      <c r="M320" s="295"/>
      <c r="N320" s="295"/>
      <c r="O320" s="295"/>
      <c r="P320" s="295"/>
      <c r="Q320" s="296"/>
      <c r="R320" s="227"/>
      <c r="S320" s="228" t="e">
        <f>IF(C320="",NA(),MATCH($B320&amp;$C320,'Smelter Reference List'!$J:$J,0))</f>
        <v>#N/A</v>
      </c>
      <c r="T320" s="229"/>
      <c r="U320" s="229">
        <f t="shared" ca="1" si="10"/>
        <v>0</v>
      </c>
      <c r="V320" s="229"/>
      <c r="W320" s="229"/>
      <c r="Y320" s="223" t="str">
        <f t="shared" si="11"/>
        <v/>
      </c>
    </row>
    <row r="321" spans="1:25" s="223" customFormat="1" ht="20.25">
      <c r="A321" s="291"/>
      <c r="B321" s="292" t="str">
        <f>IF(LEN(A321)=0,"",INDEX('Smelter Reference List'!$A:$A,MATCH($A321,'Smelter Reference List'!$E:$E,0)))</f>
        <v/>
      </c>
      <c r="C321" s="298" t="str">
        <f>IF(LEN(A321)=0,"",INDEX('Smelter Reference List'!$C:$C,MATCH($A321,'Smelter Reference List'!$E:$E,0)))</f>
        <v/>
      </c>
      <c r="D321" s="292" t="str">
        <f ca="1">IF(ISERROR($S321),"",OFFSET('Smelter Reference List'!$C$4,$S321-4,0)&amp;"")</f>
        <v/>
      </c>
      <c r="E321" s="292" t="str">
        <f ca="1">IF(ISERROR($S321),"",OFFSET('Smelter Reference List'!$D$4,$S321-4,0)&amp;"")</f>
        <v/>
      </c>
      <c r="F321" s="292" t="str">
        <f ca="1">IF(ISERROR($S321),"",OFFSET('Smelter Reference List'!$E$4,$S321-4,0))</f>
        <v/>
      </c>
      <c r="G321" s="292" t="str">
        <f ca="1">IF(C321=$U$4,"Enter smelter details", IF(ISERROR($S321),"",OFFSET('Smelter Reference List'!$F$4,$S321-4,0)))</f>
        <v/>
      </c>
      <c r="H321" s="293" t="str">
        <f ca="1">IF(ISERROR($S321),"",OFFSET('Smelter Reference List'!$G$4,$S321-4,0))</f>
        <v/>
      </c>
      <c r="I321" s="294" t="str">
        <f ca="1">IF(ISERROR($S321),"",OFFSET('Smelter Reference List'!$H$4,$S321-4,0))</f>
        <v/>
      </c>
      <c r="J321" s="294" t="str">
        <f ca="1">IF(ISERROR($S321),"",OFFSET('Smelter Reference List'!$I$4,$S321-4,0))</f>
        <v/>
      </c>
      <c r="K321" s="295"/>
      <c r="L321" s="295"/>
      <c r="M321" s="295"/>
      <c r="N321" s="295"/>
      <c r="O321" s="295"/>
      <c r="P321" s="295"/>
      <c r="Q321" s="296"/>
      <c r="R321" s="227"/>
      <c r="S321" s="228" t="e">
        <f>IF(C321="",NA(),MATCH($B321&amp;$C321,'Smelter Reference List'!$J:$J,0))</f>
        <v>#N/A</v>
      </c>
      <c r="T321" s="229"/>
      <c r="U321" s="229">
        <f t="shared" ca="1" si="10"/>
        <v>0</v>
      </c>
      <c r="V321" s="229"/>
      <c r="W321" s="229"/>
      <c r="Y321" s="223" t="str">
        <f t="shared" si="11"/>
        <v/>
      </c>
    </row>
    <row r="322" spans="1:25" s="223" customFormat="1" ht="20.25">
      <c r="A322" s="291"/>
      <c r="B322" s="292" t="str">
        <f>IF(LEN(A322)=0,"",INDEX('Smelter Reference List'!$A:$A,MATCH($A322,'Smelter Reference List'!$E:$E,0)))</f>
        <v/>
      </c>
      <c r="C322" s="298" t="str">
        <f>IF(LEN(A322)=0,"",INDEX('Smelter Reference List'!$C:$C,MATCH($A322,'Smelter Reference List'!$E:$E,0)))</f>
        <v/>
      </c>
      <c r="D322" s="292" t="str">
        <f ca="1">IF(ISERROR($S322),"",OFFSET('Smelter Reference List'!$C$4,$S322-4,0)&amp;"")</f>
        <v/>
      </c>
      <c r="E322" s="292" t="str">
        <f ca="1">IF(ISERROR($S322),"",OFFSET('Smelter Reference List'!$D$4,$S322-4,0)&amp;"")</f>
        <v/>
      </c>
      <c r="F322" s="292" t="str">
        <f ca="1">IF(ISERROR($S322),"",OFFSET('Smelter Reference List'!$E$4,$S322-4,0))</f>
        <v/>
      </c>
      <c r="G322" s="292" t="str">
        <f ca="1">IF(C322=$U$4,"Enter smelter details", IF(ISERROR($S322),"",OFFSET('Smelter Reference List'!$F$4,$S322-4,0)))</f>
        <v/>
      </c>
      <c r="H322" s="293" t="str">
        <f ca="1">IF(ISERROR($S322),"",OFFSET('Smelter Reference List'!$G$4,$S322-4,0))</f>
        <v/>
      </c>
      <c r="I322" s="294" t="str">
        <f ca="1">IF(ISERROR($S322),"",OFFSET('Smelter Reference List'!$H$4,$S322-4,0))</f>
        <v/>
      </c>
      <c r="J322" s="294" t="str">
        <f ca="1">IF(ISERROR($S322),"",OFFSET('Smelter Reference List'!$I$4,$S322-4,0))</f>
        <v/>
      </c>
      <c r="K322" s="295"/>
      <c r="L322" s="295"/>
      <c r="M322" s="295"/>
      <c r="N322" s="295"/>
      <c r="O322" s="295"/>
      <c r="P322" s="295"/>
      <c r="Q322" s="296"/>
      <c r="R322" s="227"/>
      <c r="S322" s="228" t="e">
        <f>IF(C322="",NA(),MATCH($B322&amp;$C322,'Smelter Reference List'!$J:$J,0))</f>
        <v>#N/A</v>
      </c>
      <c r="T322" s="229"/>
      <c r="U322" s="229">
        <f t="shared" ca="1" si="10"/>
        <v>0</v>
      </c>
      <c r="V322" s="229"/>
      <c r="W322" s="229"/>
      <c r="Y322" s="223" t="str">
        <f t="shared" si="11"/>
        <v/>
      </c>
    </row>
    <row r="323" spans="1:25" s="223" customFormat="1" ht="20.25">
      <c r="A323" s="291"/>
      <c r="B323" s="292" t="str">
        <f>IF(LEN(A323)=0,"",INDEX('Smelter Reference List'!$A:$A,MATCH($A323,'Smelter Reference List'!$E:$E,0)))</f>
        <v/>
      </c>
      <c r="C323" s="298" t="str">
        <f>IF(LEN(A323)=0,"",INDEX('Smelter Reference List'!$C:$C,MATCH($A323,'Smelter Reference List'!$E:$E,0)))</f>
        <v/>
      </c>
      <c r="D323" s="292" t="str">
        <f ca="1">IF(ISERROR($S323),"",OFFSET('Smelter Reference List'!$C$4,$S323-4,0)&amp;"")</f>
        <v/>
      </c>
      <c r="E323" s="292" t="str">
        <f ca="1">IF(ISERROR($S323),"",OFFSET('Smelter Reference List'!$D$4,$S323-4,0)&amp;"")</f>
        <v/>
      </c>
      <c r="F323" s="292" t="str">
        <f ca="1">IF(ISERROR($S323),"",OFFSET('Smelter Reference List'!$E$4,$S323-4,0))</f>
        <v/>
      </c>
      <c r="G323" s="292" t="str">
        <f ca="1">IF(C323=$U$4,"Enter smelter details", IF(ISERROR($S323),"",OFFSET('Smelter Reference List'!$F$4,$S323-4,0)))</f>
        <v/>
      </c>
      <c r="H323" s="293" t="str">
        <f ca="1">IF(ISERROR($S323),"",OFFSET('Smelter Reference List'!$G$4,$S323-4,0))</f>
        <v/>
      </c>
      <c r="I323" s="294" t="str">
        <f ca="1">IF(ISERROR($S323),"",OFFSET('Smelter Reference List'!$H$4,$S323-4,0))</f>
        <v/>
      </c>
      <c r="J323" s="294" t="str">
        <f ca="1">IF(ISERROR($S323),"",OFFSET('Smelter Reference List'!$I$4,$S323-4,0))</f>
        <v/>
      </c>
      <c r="K323" s="295"/>
      <c r="L323" s="295"/>
      <c r="M323" s="295"/>
      <c r="N323" s="295"/>
      <c r="O323" s="295"/>
      <c r="P323" s="295"/>
      <c r="Q323" s="296"/>
      <c r="R323" s="227"/>
      <c r="S323" s="228" t="e">
        <f>IF(C323="",NA(),MATCH($B323&amp;$C323,'Smelter Reference List'!$J:$J,0))</f>
        <v>#N/A</v>
      </c>
      <c r="T323" s="229"/>
      <c r="U323" s="229">
        <f t="shared" ca="1" si="10"/>
        <v>0</v>
      </c>
      <c r="V323" s="229"/>
      <c r="W323" s="229"/>
      <c r="Y323" s="223" t="str">
        <f t="shared" si="11"/>
        <v/>
      </c>
    </row>
    <row r="324" spans="1:25" s="223" customFormat="1" ht="20.25">
      <c r="A324" s="291"/>
      <c r="B324" s="292" t="str">
        <f>IF(LEN(A324)=0,"",INDEX('Smelter Reference List'!$A:$A,MATCH($A324,'Smelter Reference List'!$E:$E,0)))</f>
        <v/>
      </c>
      <c r="C324" s="298" t="str">
        <f>IF(LEN(A324)=0,"",INDEX('Smelter Reference List'!$C:$C,MATCH($A324,'Smelter Reference List'!$E:$E,0)))</f>
        <v/>
      </c>
      <c r="D324" s="292" t="str">
        <f ca="1">IF(ISERROR($S324),"",OFFSET('Smelter Reference List'!$C$4,$S324-4,0)&amp;"")</f>
        <v/>
      </c>
      <c r="E324" s="292" t="str">
        <f ca="1">IF(ISERROR($S324),"",OFFSET('Smelter Reference List'!$D$4,$S324-4,0)&amp;"")</f>
        <v/>
      </c>
      <c r="F324" s="292" t="str">
        <f ca="1">IF(ISERROR($S324),"",OFFSET('Smelter Reference List'!$E$4,$S324-4,0))</f>
        <v/>
      </c>
      <c r="G324" s="292" t="str">
        <f ca="1">IF(C324=$U$4,"Enter smelter details", IF(ISERROR($S324),"",OFFSET('Smelter Reference List'!$F$4,$S324-4,0)))</f>
        <v/>
      </c>
      <c r="H324" s="293" t="str">
        <f ca="1">IF(ISERROR($S324),"",OFFSET('Smelter Reference List'!$G$4,$S324-4,0))</f>
        <v/>
      </c>
      <c r="I324" s="294" t="str">
        <f ca="1">IF(ISERROR($S324),"",OFFSET('Smelter Reference List'!$H$4,$S324-4,0))</f>
        <v/>
      </c>
      <c r="J324" s="294" t="str">
        <f ca="1">IF(ISERROR($S324),"",OFFSET('Smelter Reference List'!$I$4,$S324-4,0))</f>
        <v/>
      </c>
      <c r="K324" s="295"/>
      <c r="L324" s="295"/>
      <c r="M324" s="295"/>
      <c r="N324" s="295"/>
      <c r="O324" s="295"/>
      <c r="P324" s="295"/>
      <c r="Q324" s="296"/>
      <c r="R324" s="227"/>
      <c r="S324" s="228" t="e">
        <f>IF(C324="",NA(),MATCH($B324&amp;$C324,'Smelter Reference List'!$J:$J,0))</f>
        <v>#N/A</v>
      </c>
      <c r="T324" s="229"/>
      <c r="U324" s="229">
        <f t="shared" ca="1" si="10"/>
        <v>0</v>
      </c>
      <c r="V324" s="229"/>
      <c r="W324" s="229"/>
      <c r="Y324" s="223" t="str">
        <f t="shared" si="11"/>
        <v/>
      </c>
    </row>
    <row r="325" spans="1:25" s="223" customFormat="1" ht="20.25">
      <c r="A325" s="291"/>
      <c r="B325" s="292" t="str">
        <f>IF(LEN(A325)=0,"",INDEX('Smelter Reference List'!$A:$A,MATCH($A325,'Smelter Reference List'!$E:$E,0)))</f>
        <v/>
      </c>
      <c r="C325" s="298" t="str">
        <f>IF(LEN(A325)=0,"",INDEX('Smelter Reference List'!$C:$C,MATCH($A325,'Smelter Reference List'!$E:$E,0)))</f>
        <v/>
      </c>
      <c r="D325" s="292" t="str">
        <f ca="1">IF(ISERROR($S325),"",OFFSET('Smelter Reference List'!$C$4,$S325-4,0)&amp;"")</f>
        <v/>
      </c>
      <c r="E325" s="292" t="str">
        <f ca="1">IF(ISERROR($S325),"",OFFSET('Smelter Reference List'!$D$4,$S325-4,0)&amp;"")</f>
        <v/>
      </c>
      <c r="F325" s="292" t="str">
        <f ca="1">IF(ISERROR($S325),"",OFFSET('Smelter Reference List'!$E$4,$S325-4,0))</f>
        <v/>
      </c>
      <c r="G325" s="292" t="str">
        <f ca="1">IF(C325=$U$4,"Enter smelter details", IF(ISERROR($S325),"",OFFSET('Smelter Reference List'!$F$4,$S325-4,0)))</f>
        <v/>
      </c>
      <c r="H325" s="293" t="str">
        <f ca="1">IF(ISERROR($S325),"",OFFSET('Smelter Reference List'!$G$4,$S325-4,0))</f>
        <v/>
      </c>
      <c r="I325" s="294" t="str">
        <f ca="1">IF(ISERROR($S325),"",OFFSET('Smelter Reference List'!$H$4,$S325-4,0))</f>
        <v/>
      </c>
      <c r="J325" s="294" t="str">
        <f ca="1">IF(ISERROR($S325),"",OFFSET('Smelter Reference List'!$I$4,$S325-4,0))</f>
        <v/>
      </c>
      <c r="K325" s="295"/>
      <c r="L325" s="295"/>
      <c r="M325" s="295"/>
      <c r="N325" s="295"/>
      <c r="O325" s="295"/>
      <c r="P325" s="295"/>
      <c r="Q325" s="296"/>
      <c r="R325" s="227"/>
      <c r="S325" s="228" t="e">
        <f>IF(C325="",NA(),MATCH($B325&amp;$C325,'Smelter Reference List'!$J:$J,0))</f>
        <v>#N/A</v>
      </c>
      <c r="T325" s="229"/>
      <c r="U325" s="229">
        <f t="shared" ref="U325:U388" ca="1" si="12">IF(AND(C325="Smelter not listed",OR(LEN(D325)=0,LEN(E325)=0)),1,0)</f>
        <v>0</v>
      </c>
      <c r="V325" s="229"/>
      <c r="W325" s="229"/>
      <c r="Y325" s="223" t="str">
        <f t="shared" ref="Y325:Y388" si="13">B325&amp;C325</f>
        <v/>
      </c>
    </row>
    <row r="326" spans="1:25" s="223" customFormat="1" ht="20.25">
      <c r="A326" s="291"/>
      <c r="B326" s="292" t="str">
        <f>IF(LEN(A326)=0,"",INDEX('Smelter Reference List'!$A:$A,MATCH($A326,'Smelter Reference List'!$E:$E,0)))</f>
        <v/>
      </c>
      <c r="C326" s="298" t="str">
        <f>IF(LEN(A326)=0,"",INDEX('Smelter Reference List'!$C:$C,MATCH($A326,'Smelter Reference List'!$E:$E,0)))</f>
        <v/>
      </c>
      <c r="D326" s="292" t="str">
        <f ca="1">IF(ISERROR($S326),"",OFFSET('Smelter Reference List'!$C$4,$S326-4,0)&amp;"")</f>
        <v/>
      </c>
      <c r="E326" s="292" t="str">
        <f ca="1">IF(ISERROR($S326),"",OFFSET('Smelter Reference List'!$D$4,$S326-4,0)&amp;"")</f>
        <v/>
      </c>
      <c r="F326" s="292" t="str">
        <f ca="1">IF(ISERROR($S326),"",OFFSET('Smelter Reference List'!$E$4,$S326-4,0))</f>
        <v/>
      </c>
      <c r="G326" s="292" t="str">
        <f ca="1">IF(C326=$U$4,"Enter smelter details", IF(ISERROR($S326),"",OFFSET('Smelter Reference List'!$F$4,$S326-4,0)))</f>
        <v/>
      </c>
      <c r="H326" s="293" t="str">
        <f ca="1">IF(ISERROR($S326),"",OFFSET('Smelter Reference List'!$G$4,$S326-4,0))</f>
        <v/>
      </c>
      <c r="I326" s="294" t="str">
        <f ca="1">IF(ISERROR($S326),"",OFFSET('Smelter Reference List'!$H$4,$S326-4,0))</f>
        <v/>
      </c>
      <c r="J326" s="294" t="str">
        <f ca="1">IF(ISERROR($S326),"",OFFSET('Smelter Reference List'!$I$4,$S326-4,0))</f>
        <v/>
      </c>
      <c r="K326" s="295"/>
      <c r="L326" s="295"/>
      <c r="M326" s="295"/>
      <c r="N326" s="295"/>
      <c r="O326" s="295"/>
      <c r="P326" s="295"/>
      <c r="Q326" s="296"/>
      <c r="R326" s="227"/>
      <c r="S326" s="228" t="e">
        <f>IF(C326="",NA(),MATCH($B326&amp;$C326,'Smelter Reference List'!$J:$J,0))</f>
        <v>#N/A</v>
      </c>
      <c r="T326" s="229"/>
      <c r="U326" s="229">
        <f t="shared" ca="1" si="12"/>
        <v>0</v>
      </c>
      <c r="V326" s="229"/>
      <c r="W326" s="229"/>
      <c r="Y326" s="223" t="str">
        <f t="shared" si="13"/>
        <v/>
      </c>
    </row>
    <row r="327" spans="1:25" s="223" customFormat="1" ht="20.25">
      <c r="A327" s="291"/>
      <c r="B327" s="292" t="str">
        <f>IF(LEN(A327)=0,"",INDEX('Smelter Reference List'!$A:$A,MATCH($A327,'Smelter Reference List'!$E:$E,0)))</f>
        <v/>
      </c>
      <c r="C327" s="298" t="str">
        <f>IF(LEN(A327)=0,"",INDEX('Smelter Reference List'!$C:$C,MATCH($A327,'Smelter Reference List'!$E:$E,0)))</f>
        <v/>
      </c>
      <c r="D327" s="292" t="str">
        <f ca="1">IF(ISERROR($S327),"",OFFSET('Smelter Reference List'!$C$4,$S327-4,0)&amp;"")</f>
        <v/>
      </c>
      <c r="E327" s="292" t="str">
        <f ca="1">IF(ISERROR($S327),"",OFFSET('Smelter Reference List'!$D$4,$S327-4,0)&amp;"")</f>
        <v/>
      </c>
      <c r="F327" s="292" t="str">
        <f ca="1">IF(ISERROR($S327),"",OFFSET('Smelter Reference List'!$E$4,$S327-4,0))</f>
        <v/>
      </c>
      <c r="G327" s="292" t="str">
        <f ca="1">IF(C327=$U$4,"Enter smelter details", IF(ISERROR($S327),"",OFFSET('Smelter Reference List'!$F$4,$S327-4,0)))</f>
        <v/>
      </c>
      <c r="H327" s="293" t="str">
        <f ca="1">IF(ISERROR($S327),"",OFFSET('Smelter Reference List'!$G$4,$S327-4,0))</f>
        <v/>
      </c>
      <c r="I327" s="294" t="str">
        <f ca="1">IF(ISERROR($S327),"",OFFSET('Smelter Reference List'!$H$4,$S327-4,0))</f>
        <v/>
      </c>
      <c r="J327" s="294" t="str">
        <f ca="1">IF(ISERROR($S327),"",OFFSET('Smelter Reference List'!$I$4,$S327-4,0))</f>
        <v/>
      </c>
      <c r="K327" s="295"/>
      <c r="L327" s="295"/>
      <c r="M327" s="295"/>
      <c r="N327" s="295"/>
      <c r="O327" s="295"/>
      <c r="P327" s="295"/>
      <c r="Q327" s="296"/>
      <c r="R327" s="227"/>
      <c r="S327" s="228" t="e">
        <f>IF(C327="",NA(),MATCH($B327&amp;$C327,'Smelter Reference List'!$J:$J,0))</f>
        <v>#N/A</v>
      </c>
      <c r="T327" s="229"/>
      <c r="U327" s="229">
        <f t="shared" ca="1" si="12"/>
        <v>0</v>
      </c>
      <c r="V327" s="229"/>
      <c r="W327" s="229"/>
      <c r="Y327" s="223" t="str">
        <f t="shared" si="13"/>
        <v/>
      </c>
    </row>
    <row r="328" spans="1:25" s="223" customFormat="1" ht="20.25">
      <c r="A328" s="291"/>
      <c r="B328" s="292" t="str">
        <f>IF(LEN(A328)=0,"",INDEX('Smelter Reference List'!$A:$A,MATCH($A328,'Smelter Reference List'!$E:$E,0)))</f>
        <v/>
      </c>
      <c r="C328" s="298" t="str">
        <f>IF(LEN(A328)=0,"",INDEX('Smelter Reference List'!$C:$C,MATCH($A328,'Smelter Reference List'!$E:$E,0)))</f>
        <v/>
      </c>
      <c r="D328" s="292" t="str">
        <f ca="1">IF(ISERROR($S328),"",OFFSET('Smelter Reference List'!$C$4,$S328-4,0)&amp;"")</f>
        <v/>
      </c>
      <c r="E328" s="292" t="str">
        <f ca="1">IF(ISERROR($S328),"",OFFSET('Smelter Reference List'!$D$4,$S328-4,0)&amp;"")</f>
        <v/>
      </c>
      <c r="F328" s="292" t="str">
        <f ca="1">IF(ISERROR($S328),"",OFFSET('Smelter Reference List'!$E$4,$S328-4,0))</f>
        <v/>
      </c>
      <c r="G328" s="292" t="str">
        <f ca="1">IF(C328=$U$4,"Enter smelter details", IF(ISERROR($S328),"",OFFSET('Smelter Reference List'!$F$4,$S328-4,0)))</f>
        <v/>
      </c>
      <c r="H328" s="293" t="str">
        <f ca="1">IF(ISERROR($S328),"",OFFSET('Smelter Reference List'!$G$4,$S328-4,0))</f>
        <v/>
      </c>
      <c r="I328" s="294" t="str">
        <f ca="1">IF(ISERROR($S328),"",OFFSET('Smelter Reference List'!$H$4,$S328-4,0))</f>
        <v/>
      </c>
      <c r="J328" s="294" t="str">
        <f ca="1">IF(ISERROR($S328),"",OFFSET('Smelter Reference List'!$I$4,$S328-4,0))</f>
        <v/>
      </c>
      <c r="K328" s="295"/>
      <c r="L328" s="295"/>
      <c r="M328" s="295"/>
      <c r="N328" s="295"/>
      <c r="O328" s="295"/>
      <c r="P328" s="295"/>
      <c r="Q328" s="296"/>
      <c r="R328" s="227"/>
      <c r="S328" s="228" t="e">
        <f>IF(C328="",NA(),MATCH($B328&amp;$C328,'Smelter Reference List'!$J:$J,0))</f>
        <v>#N/A</v>
      </c>
      <c r="T328" s="229"/>
      <c r="U328" s="229">
        <f t="shared" ca="1" si="12"/>
        <v>0</v>
      </c>
      <c r="V328" s="229"/>
      <c r="W328" s="229"/>
      <c r="Y328" s="223" t="str">
        <f t="shared" si="13"/>
        <v/>
      </c>
    </row>
    <row r="329" spans="1:25" s="223" customFormat="1" ht="20.25">
      <c r="A329" s="291"/>
      <c r="B329" s="292" t="str">
        <f>IF(LEN(A329)=0,"",INDEX('Smelter Reference List'!$A:$A,MATCH($A329,'Smelter Reference List'!$E:$E,0)))</f>
        <v/>
      </c>
      <c r="C329" s="298" t="str">
        <f>IF(LEN(A329)=0,"",INDEX('Smelter Reference List'!$C:$C,MATCH($A329,'Smelter Reference List'!$E:$E,0)))</f>
        <v/>
      </c>
      <c r="D329" s="292" t="str">
        <f ca="1">IF(ISERROR($S329),"",OFFSET('Smelter Reference List'!$C$4,$S329-4,0)&amp;"")</f>
        <v/>
      </c>
      <c r="E329" s="292" t="str">
        <f ca="1">IF(ISERROR($S329),"",OFFSET('Smelter Reference List'!$D$4,$S329-4,0)&amp;"")</f>
        <v/>
      </c>
      <c r="F329" s="292" t="str">
        <f ca="1">IF(ISERROR($S329),"",OFFSET('Smelter Reference List'!$E$4,$S329-4,0))</f>
        <v/>
      </c>
      <c r="G329" s="292" t="str">
        <f ca="1">IF(C329=$U$4,"Enter smelter details", IF(ISERROR($S329),"",OFFSET('Smelter Reference List'!$F$4,$S329-4,0)))</f>
        <v/>
      </c>
      <c r="H329" s="293" t="str">
        <f ca="1">IF(ISERROR($S329),"",OFFSET('Smelter Reference List'!$G$4,$S329-4,0))</f>
        <v/>
      </c>
      <c r="I329" s="294" t="str">
        <f ca="1">IF(ISERROR($S329),"",OFFSET('Smelter Reference List'!$H$4,$S329-4,0))</f>
        <v/>
      </c>
      <c r="J329" s="294" t="str">
        <f ca="1">IF(ISERROR($S329),"",OFFSET('Smelter Reference List'!$I$4,$S329-4,0))</f>
        <v/>
      </c>
      <c r="K329" s="295"/>
      <c r="L329" s="295"/>
      <c r="M329" s="295"/>
      <c r="N329" s="295"/>
      <c r="O329" s="295"/>
      <c r="P329" s="295"/>
      <c r="Q329" s="296"/>
      <c r="R329" s="227"/>
      <c r="S329" s="228" t="e">
        <f>IF(C329="",NA(),MATCH($B329&amp;$C329,'Smelter Reference List'!$J:$J,0))</f>
        <v>#N/A</v>
      </c>
      <c r="T329" s="229"/>
      <c r="U329" s="229">
        <f t="shared" ca="1" si="12"/>
        <v>0</v>
      </c>
      <c r="V329" s="229"/>
      <c r="W329" s="229"/>
      <c r="Y329" s="223" t="str">
        <f t="shared" si="13"/>
        <v/>
      </c>
    </row>
    <row r="330" spans="1:25" s="223" customFormat="1" ht="20.25">
      <c r="A330" s="291"/>
      <c r="B330" s="292" t="str">
        <f>IF(LEN(A330)=0,"",INDEX('Smelter Reference List'!$A:$A,MATCH($A330,'Smelter Reference List'!$E:$E,0)))</f>
        <v/>
      </c>
      <c r="C330" s="298" t="str">
        <f>IF(LEN(A330)=0,"",INDEX('Smelter Reference List'!$C:$C,MATCH($A330,'Smelter Reference List'!$E:$E,0)))</f>
        <v/>
      </c>
      <c r="D330" s="292" t="str">
        <f ca="1">IF(ISERROR($S330),"",OFFSET('Smelter Reference List'!$C$4,$S330-4,0)&amp;"")</f>
        <v/>
      </c>
      <c r="E330" s="292" t="str">
        <f ca="1">IF(ISERROR($S330),"",OFFSET('Smelter Reference List'!$D$4,$S330-4,0)&amp;"")</f>
        <v/>
      </c>
      <c r="F330" s="292" t="str">
        <f ca="1">IF(ISERROR($S330),"",OFFSET('Smelter Reference List'!$E$4,$S330-4,0))</f>
        <v/>
      </c>
      <c r="G330" s="292" t="str">
        <f ca="1">IF(C330=$U$4,"Enter smelter details", IF(ISERROR($S330),"",OFFSET('Smelter Reference List'!$F$4,$S330-4,0)))</f>
        <v/>
      </c>
      <c r="H330" s="293" t="str">
        <f ca="1">IF(ISERROR($S330),"",OFFSET('Smelter Reference List'!$G$4,$S330-4,0))</f>
        <v/>
      </c>
      <c r="I330" s="294" t="str">
        <f ca="1">IF(ISERROR($S330),"",OFFSET('Smelter Reference List'!$H$4,$S330-4,0))</f>
        <v/>
      </c>
      <c r="J330" s="294" t="str">
        <f ca="1">IF(ISERROR($S330),"",OFFSET('Smelter Reference List'!$I$4,$S330-4,0))</f>
        <v/>
      </c>
      <c r="K330" s="295"/>
      <c r="L330" s="295"/>
      <c r="M330" s="295"/>
      <c r="N330" s="295"/>
      <c r="O330" s="295"/>
      <c r="P330" s="295"/>
      <c r="Q330" s="296"/>
      <c r="R330" s="227"/>
      <c r="S330" s="228" t="e">
        <f>IF(C330="",NA(),MATCH($B330&amp;$C330,'Smelter Reference List'!$J:$J,0))</f>
        <v>#N/A</v>
      </c>
      <c r="T330" s="229"/>
      <c r="U330" s="229">
        <f t="shared" ca="1" si="12"/>
        <v>0</v>
      </c>
      <c r="V330" s="229"/>
      <c r="W330" s="229"/>
      <c r="Y330" s="223" t="str">
        <f t="shared" si="13"/>
        <v/>
      </c>
    </row>
    <row r="331" spans="1:25" s="223" customFormat="1" ht="20.25">
      <c r="A331" s="291"/>
      <c r="B331" s="292" t="str">
        <f>IF(LEN(A331)=0,"",INDEX('Smelter Reference List'!$A:$A,MATCH($A331,'Smelter Reference List'!$E:$E,0)))</f>
        <v/>
      </c>
      <c r="C331" s="298" t="str">
        <f>IF(LEN(A331)=0,"",INDEX('Smelter Reference List'!$C:$C,MATCH($A331,'Smelter Reference List'!$E:$E,0)))</f>
        <v/>
      </c>
      <c r="D331" s="292" t="str">
        <f ca="1">IF(ISERROR($S331),"",OFFSET('Smelter Reference List'!$C$4,$S331-4,0)&amp;"")</f>
        <v/>
      </c>
      <c r="E331" s="292" t="str">
        <f ca="1">IF(ISERROR($S331),"",OFFSET('Smelter Reference List'!$D$4,$S331-4,0)&amp;"")</f>
        <v/>
      </c>
      <c r="F331" s="292" t="str">
        <f ca="1">IF(ISERROR($S331),"",OFFSET('Smelter Reference List'!$E$4,$S331-4,0))</f>
        <v/>
      </c>
      <c r="G331" s="292" t="str">
        <f ca="1">IF(C331=$U$4,"Enter smelter details", IF(ISERROR($S331),"",OFFSET('Smelter Reference List'!$F$4,$S331-4,0)))</f>
        <v/>
      </c>
      <c r="H331" s="293" t="str">
        <f ca="1">IF(ISERROR($S331),"",OFFSET('Smelter Reference List'!$G$4,$S331-4,0))</f>
        <v/>
      </c>
      <c r="I331" s="294" t="str">
        <f ca="1">IF(ISERROR($S331),"",OFFSET('Smelter Reference List'!$H$4,$S331-4,0))</f>
        <v/>
      </c>
      <c r="J331" s="294" t="str">
        <f ca="1">IF(ISERROR($S331),"",OFFSET('Smelter Reference List'!$I$4,$S331-4,0))</f>
        <v/>
      </c>
      <c r="K331" s="295"/>
      <c r="L331" s="295"/>
      <c r="M331" s="295"/>
      <c r="N331" s="295"/>
      <c r="O331" s="295"/>
      <c r="P331" s="295"/>
      <c r="Q331" s="296"/>
      <c r="R331" s="227"/>
      <c r="S331" s="228" t="e">
        <f>IF(C331="",NA(),MATCH($B331&amp;$C331,'Smelter Reference List'!$J:$J,0))</f>
        <v>#N/A</v>
      </c>
      <c r="T331" s="229"/>
      <c r="U331" s="229">
        <f t="shared" ca="1" si="12"/>
        <v>0</v>
      </c>
      <c r="V331" s="229"/>
      <c r="W331" s="229"/>
      <c r="Y331" s="223" t="str">
        <f t="shared" si="13"/>
        <v/>
      </c>
    </row>
    <row r="332" spans="1:25" s="223" customFormat="1" ht="20.25">
      <c r="A332" s="291"/>
      <c r="B332" s="292" t="str">
        <f>IF(LEN(A332)=0,"",INDEX('Smelter Reference List'!$A:$A,MATCH($A332,'Smelter Reference List'!$E:$E,0)))</f>
        <v/>
      </c>
      <c r="C332" s="298" t="str">
        <f>IF(LEN(A332)=0,"",INDEX('Smelter Reference List'!$C:$C,MATCH($A332,'Smelter Reference List'!$E:$E,0)))</f>
        <v/>
      </c>
      <c r="D332" s="292" t="str">
        <f ca="1">IF(ISERROR($S332),"",OFFSET('Smelter Reference List'!$C$4,$S332-4,0)&amp;"")</f>
        <v/>
      </c>
      <c r="E332" s="292" t="str">
        <f ca="1">IF(ISERROR($S332),"",OFFSET('Smelter Reference List'!$D$4,$S332-4,0)&amp;"")</f>
        <v/>
      </c>
      <c r="F332" s="292" t="str">
        <f ca="1">IF(ISERROR($S332),"",OFFSET('Smelter Reference List'!$E$4,$S332-4,0))</f>
        <v/>
      </c>
      <c r="G332" s="292" t="str">
        <f ca="1">IF(C332=$U$4,"Enter smelter details", IF(ISERROR($S332),"",OFFSET('Smelter Reference List'!$F$4,$S332-4,0)))</f>
        <v/>
      </c>
      <c r="H332" s="293" t="str">
        <f ca="1">IF(ISERROR($S332),"",OFFSET('Smelter Reference List'!$G$4,$S332-4,0))</f>
        <v/>
      </c>
      <c r="I332" s="294" t="str">
        <f ca="1">IF(ISERROR($S332),"",OFFSET('Smelter Reference List'!$H$4,$S332-4,0))</f>
        <v/>
      </c>
      <c r="J332" s="294" t="str">
        <f ca="1">IF(ISERROR($S332),"",OFFSET('Smelter Reference List'!$I$4,$S332-4,0))</f>
        <v/>
      </c>
      <c r="K332" s="295"/>
      <c r="L332" s="295"/>
      <c r="M332" s="295"/>
      <c r="N332" s="295"/>
      <c r="O332" s="295"/>
      <c r="P332" s="295"/>
      <c r="Q332" s="296"/>
      <c r="R332" s="227"/>
      <c r="S332" s="228" t="e">
        <f>IF(C332="",NA(),MATCH($B332&amp;$C332,'Smelter Reference List'!$J:$J,0))</f>
        <v>#N/A</v>
      </c>
      <c r="T332" s="229"/>
      <c r="U332" s="229">
        <f t="shared" ca="1" si="12"/>
        <v>0</v>
      </c>
      <c r="V332" s="229"/>
      <c r="W332" s="229"/>
      <c r="Y332" s="223" t="str">
        <f t="shared" si="13"/>
        <v/>
      </c>
    </row>
    <row r="333" spans="1:25" s="223" customFormat="1" ht="20.25">
      <c r="A333" s="291"/>
      <c r="B333" s="292" t="str">
        <f>IF(LEN(A333)=0,"",INDEX('Smelter Reference List'!$A:$A,MATCH($A333,'Smelter Reference List'!$E:$E,0)))</f>
        <v/>
      </c>
      <c r="C333" s="298" t="str">
        <f>IF(LEN(A333)=0,"",INDEX('Smelter Reference List'!$C:$C,MATCH($A333,'Smelter Reference List'!$E:$E,0)))</f>
        <v/>
      </c>
      <c r="D333" s="292" t="str">
        <f ca="1">IF(ISERROR($S333),"",OFFSET('Smelter Reference List'!$C$4,$S333-4,0)&amp;"")</f>
        <v/>
      </c>
      <c r="E333" s="292" t="str">
        <f ca="1">IF(ISERROR($S333),"",OFFSET('Smelter Reference List'!$D$4,$S333-4,0)&amp;"")</f>
        <v/>
      </c>
      <c r="F333" s="292" t="str">
        <f ca="1">IF(ISERROR($S333),"",OFFSET('Smelter Reference List'!$E$4,$S333-4,0))</f>
        <v/>
      </c>
      <c r="G333" s="292" t="str">
        <f ca="1">IF(C333=$U$4,"Enter smelter details", IF(ISERROR($S333),"",OFFSET('Smelter Reference List'!$F$4,$S333-4,0)))</f>
        <v/>
      </c>
      <c r="H333" s="293" t="str">
        <f ca="1">IF(ISERROR($S333),"",OFFSET('Smelter Reference List'!$G$4,$S333-4,0))</f>
        <v/>
      </c>
      <c r="I333" s="294" t="str">
        <f ca="1">IF(ISERROR($S333),"",OFFSET('Smelter Reference List'!$H$4,$S333-4,0))</f>
        <v/>
      </c>
      <c r="J333" s="294" t="str">
        <f ca="1">IF(ISERROR($S333),"",OFFSET('Smelter Reference List'!$I$4,$S333-4,0))</f>
        <v/>
      </c>
      <c r="K333" s="295"/>
      <c r="L333" s="295"/>
      <c r="M333" s="295"/>
      <c r="N333" s="295"/>
      <c r="O333" s="295"/>
      <c r="P333" s="295"/>
      <c r="Q333" s="296"/>
      <c r="R333" s="227"/>
      <c r="S333" s="228" t="e">
        <f>IF(C333="",NA(),MATCH($B333&amp;$C333,'Smelter Reference List'!$J:$J,0))</f>
        <v>#N/A</v>
      </c>
      <c r="T333" s="229"/>
      <c r="U333" s="229">
        <f t="shared" ca="1" si="12"/>
        <v>0</v>
      </c>
      <c r="V333" s="229"/>
      <c r="W333" s="229"/>
      <c r="Y333" s="223" t="str">
        <f t="shared" si="13"/>
        <v/>
      </c>
    </row>
    <row r="334" spans="1:25" s="223" customFormat="1" ht="20.25">
      <c r="A334" s="291"/>
      <c r="B334" s="292" t="str">
        <f>IF(LEN(A334)=0,"",INDEX('Smelter Reference List'!$A:$A,MATCH($A334,'Smelter Reference List'!$E:$E,0)))</f>
        <v/>
      </c>
      <c r="C334" s="298" t="str">
        <f>IF(LEN(A334)=0,"",INDEX('Smelter Reference List'!$C:$C,MATCH($A334,'Smelter Reference List'!$E:$E,0)))</f>
        <v/>
      </c>
      <c r="D334" s="292" t="str">
        <f ca="1">IF(ISERROR($S334),"",OFFSET('Smelter Reference List'!$C$4,$S334-4,0)&amp;"")</f>
        <v/>
      </c>
      <c r="E334" s="292" t="str">
        <f ca="1">IF(ISERROR($S334),"",OFFSET('Smelter Reference List'!$D$4,$S334-4,0)&amp;"")</f>
        <v/>
      </c>
      <c r="F334" s="292" t="str">
        <f ca="1">IF(ISERROR($S334),"",OFFSET('Smelter Reference List'!$E$4,$S334-4,0))</f>
        <v/>
      </c>
      <c r="G334" s="292" t="str">
        <f ca="1">IF(C334=$U$4,"Enter smelter details", IF(ISERROR($S334),"",OFFSET('Smelter Reference List'!$F$4,$S334-4,0)))</f>
        <v/>
      </c>
      <c r="H334" s="293" t="str">
        <f ca="1">IF(ISERROR($S334),"",OFFSET('Smelter Reference List'!$G$4,$S334-4,0))</f>
        <v/>
      </c>
      <c r="I334" s="294" t="str">
        <f ca="1">IF(ISERROR($S334),"",OFFSET('Smelter Reference List'!$H$4,$S334-4,0))</f>
        <v/>
      </c>
      <c r="J334" s="294" t="str">
        <f ca="1">IF(ISERROR($S334),"",OFFSET('Smelter Reference List'!$I$4,$S334-4,0))</f>
        <v/>
      </c>
      <c r="K334" s="295"/>
      <c r="L334" s="295"/>
      <c r="M334" s="295"/>
      <c r="N334" s="295"/>
      <c r="O334" s="295"/>
      <c r="P334" s="295"/>
      <c r="Q334" s="296"/>
      <c r="R334" s="227"/>
      <c r="S334" s="228" t="e">
        <f>IF(C334="",NA(),MATCH($B334&amp;$C334,'Smelter Reference List'!$J:$J,0))</f>
        <v>#N/A</v>
      </c>
      <c r="T334" s="229"/>
      <c r="U334" s="229">
        <f t="shared" ca="1" si="12"/>
        <v>0</v>
      </c>
      <c r="V334" s="229"/>
      <c r="W334" s="229"/>
      <c r="Y334" s="223" t="str">
        <f t="shared" si="13"/>
        <v/>
      </c>
    </row>
    <row r="335" spans="1:25" s="223" customFormat="1" ht="20.25">
      <c r="A335" s="291"/>
      <c r="B335" s="292" t="str">
        <f>IF(LEN(A335)=0,"",INDEX('Smelter Reference List'!$A:$A,MATCH($A335,'Smelter Reference List'!$E:$E,0)))</f>
        <v/>
      </c>
      <c r="C335" s="298" t="str">
        <f>IF(LEN(A335)=0,"",INDEX('Smelter Reference List'!$C:$C,MATCH($A335,'Smelter Reference List'!$E:$E,0)))</f>
        <v/>
      </c>
      <c r="D335" s="292" t="str">
        <f ca="1">IF(ISERROR($S335),"",OFFSET('Smelter Reference List'!$C$4,$S335-4,0)&amp;"")</f>
        <v/>
      </c>
      <c r="E335" s="292" t="str">
        <f ca="1">IF(ISERROR($S335),"",OFFSET('Smelter Reference List'!$D$4,$S335-4,0)&amp;"")</f>
        <v/>
      </c>
      <c r="F335" s="292" t="str">
        <f ca="1">IF(ISERROR($S335),"",OFFSET('Smelter Reference List'!$E$4,$S335-4,0))</f>
        <v/>
      </c>
      <c r="G335" s="292" t="str">
        <f ca="1">IF(C335=$U$4,"Enter smelter details", IF(ISERROR($S335),"",OFFSET('Smelter Reference List'!$F$4,$S335-4,0)))</f>
        <v/>
      </c>
      <c r="H335" s="293" t="str">
        <f ca="1">IF(ISERROR($S335),"",OFFSET('Smelter Reference List'!$G$4,$S335-4,0))</f>
        <v/>
      </c>
      <c r="I335" s="294" t="str">
        <f ca="1">IF(ISERROR($S335),"",OFFSET('Smelter Reference List'!$H$4,$S335-4,0))</f>
        <v/>
      </c>
      <c r="J335" s="294" t="str">
        <f ca="1">IF(ISERROR($S335),"",OFFSET('Smelter Reference List'!$I$4,$S335-4,0))</f>
        <v/>
      </c>
      <c r="K335" s="295"/>
      <c r="L335" s="295"/>
      <c r="M335" s="295"/>
      <c r="N335" s="295"/>
      <c r="O335" s="295"/>
      <c r="P335" s="295"/>
      <c r="Q335" s="296"/>
      <c r="R335" s="227"/>
      <c r="S335" s="228" t="e">
        <f>IF(C335="",NA(),MATCH($B335&amp;$C335,'Smelter Reference List'!$J:$J,0))</f>
        <v>#N/A</v>
      </c>
      <c r="T335" s="229"/>
      <c r="U335" s="229">
        <f t="shared" ca="1" si="12"/>
        <v>0</v>
      </c>
      <c r="V335" s="229"/>
      <c r="W335" s="229"/>
      <c r="Y335" s="223" t="str">
        <f t="shared" si="13"/>
        <v/>
      </c>
    </row>
    <row r="336" spans="1:25" s="223" customFormat="1" ht="20.25">
      <c r="A336" s="291"/>
      <c r="B336" s="292" t="str">
        <f>IF(LEN(A336)=0,"",INDEX('Smelter Reference List'!$A:$A,MATCH($A336,'Smelter Reference List'!$E:$E,0)))</f>
        <v/>
      </c>
      <c r="C336" s="298" t="str">
        <f>IF(LEN(A336)=0,"",INDEX('Smelter Reference List'!$C:$C,MATCH($A336,'Smelter Reference List'!$E:$E,0)))</f>
        <v/>
      </c>
      <c r="D336" s="292" t="str">
        <f ca="1">IF(ISERROR($S336),"",OFFSET('Smelter Reference List'!$C$4,$S336-4,0)&amp;"")</f>
        <v/>
      </c>
      <c r="E336" s="292" t="str">
        <f ca="1">IF(ISERROR($S336),"",OFFSET('Smelter Reference List'!$D$4,$S336-4,0)&amp;"")</f>
        <v/>
      </c>
      <c r="F336" s="292" t="str">
        <f ca="1">IF(ISERROR($S336),"",OFFSET('Smelter Reference List'!$E$4,$S336-4,0))</f>
        <v/>
      </c>
      <c r="G336" s="292" t="str">
        <f ca="1">IF(C336=$U$4,"Enter smelter details", IF(ISERROR($S336),"",OFFSET('Smelter Reference List'!$F$4,$S336-4,0)))</f>
        <v/>
      </c>
      <c r="H336" s="293" t="str">
        <f ca="1">IF(ISERROR($S336),"",OFFSET('Smelter Reference List'!$G$4,$S336-4,0))</f>
        <v/>
      </c>
      <c r="I336" s="294" t="str">
        <f ca="1">IF(ISERROR($S336),"",OFFSET('Smelter Reference List'!$H$4,$S336-4,0))</f>
        <v/>
      </c>
      <c r="J336" s="294" t="str">
        <f ca="1">IF(ISERROR($S336),"",OFFSET('Smelter Reference List'!$I$4,$S336-4,0))</f>
        <v/>
      </c>
      <c r="K336" s="295"/>
      <c r="L336" s="295"/>
      <c r="M336" s="295"/>
      <c r="N336" s="295"/>
      <c r="O336" s="295"/>
      <c r="P336" s="295"/>
      <c r="Q336" s="296"/>
      <c r="R336" s="227"/>
      <c r="S336" s="228" t="e">
        <f>IF(C336="",NA(),MATCH($B336&amp;$C336,'Smelter Reference List'!$J:$J,0))</f>
        <v>#N/A</v>
      </c>
      <c r="T336" s="229"/>
      <c r="U336" s="229">
        <f t="shared" ca="1" si="12"/>
        <v>0</v>
      </c>
      <c r="V336" s="229"/>
      <c r="W336" s="229"/>
      <c r="Y336" s="223" t="str">
        <f t="shared" si="13"/>
        <v/>
      </c>
    </row>
    <row r="337" spans="1:25" s="223" customFormat="1" ht="20.25">
      <c r="A337" s="291"/>
      <c r="B337" s="292" t="str">
        <f>IF(LEN(A337)=0,"",INDEX('Smelter Reference List'!$A:$A,MATCH($A337,'Smelter Reference List'!$E:$E,0)))</f>
        <v/>
      </c>
      <c r="C337" s="298" t="str">
        <f>IF(LEN(A337)=0,"",INDEX('Smelter Reference List'!$C:$C,MATCH($A337,'Smelter Reference List'!$E:$E,0)))</f>
        <v/>
      </c>
      <c r="D337" s="292" t="str">
        <f ca="1">IF(ISERROR($S337),"",OFFSET('Smelter Reference List'!$C$4,$S337-4,0)&amp;"")</f>
        <v/>
      </c>
      <c r="E337" s="292" t="str">
        <f ca="1">IF(ISERROR($S337),"",OFFSET('Smelter Reference List'!$D$4,$S337-4,0)&amp;"")</f>
        <v/>
      </c>
      <c r="F337" s="292" t="str">
        <f ca="1">IF(ISERROR($S337),"",OFFSET('Smelter Reference List'!$E$4,$S337-4,0))</f>
        <v/>
      </c>
      <c r="G337" s="292" t="str">
        <f ca="1">IF(C337=$U$4,"Enter smelter details", IF(ISERROR($S337),"",OFFSET('Smelter Reference List'!$F$4,$S337-4,0)))</f>
        <v/>
      </c>
      <c r="H337" s="293" t="str">
        <f ca="1">IF(ISERROR($S337),"",OFFSET('Smelter Reference List'!$G$4,$S337-4,0))</f>
        <v/>
      </c>
      <c r="I337" s="294" t="str">
        <f ca="1">IF(ISERROR($S337),"",OFFSET('Smelter Reference List'!$H$4,$S337-4,0))</f>
        <v/>
      </c>
      <c r="J337" s="294" t="str">
        <f ca="1">IF(ISERROR($S337),"",OFFSET('Smelter Reference List'!$I$4,$S337-4,0))</f>
        <v/>
      </c>
      <c r="K337" s="295"/>
      <c r="L337" s="295"/>
      <c r="M337" s="295"/>
      <c r="N337" s="295"/>
      <c r="O337" s="295"/>
      <c r="P337" s="295"/>
      <c r="Q337" s="296"/>
      <c r="R337" s="227"/>
      <c r="S337" s="228" t="e">
        <f>IF(C337="",NA(),MATCH($B337&amp;$C337,'Smelter Reference List'!$J:$J,0))</f>
        <v>#N/A</v>
      </c>
      <c r="T337" s="229"/>
      <c r="U337" s="229">
        <f t="shared" ca="1" si="12"/>
        <v>0</v>
      </c>
      <c r="V337" s="229"/>
      <c r="W337" s="229"/>
      <c r="Y337" s="223" t="str">
        <f t="shared" si="13"/>
        <v/>
      </c>
    </row>
    <row r="338" spans="1:25" s="223" customFormat="1" ht="20.25">
      <c r="A338" s="291"/>
      <c r="B338" s="292" t="str">
        <f>IF(LEN(A338)=0,"",INDEX('Smelter Reference List'!$A:$A,MATCH($A338,'Smelter Reference List'!$E:$E,0)))</f>
        <v/>
      </c>
      <c r="C338" s="298" t="str">
        <f>IF(LEN(A338)=0,"",INDEX('Smelter Reference List'!$C:$C,MATCH($A338,'Smelter Reference List'!$E:$E,0)))</f>
        <v/>
      </c>
      <c r="D338" s="292" t="str">
        <f ca="1">IF(ISERROR($S338),"",OFFSET('Smelter Reference List'!$C$4,$S338-4,0)&amp;"")</f>
        <v/>
      </c>
      <c r="E338" s="292" t="str">
        <f ca="1">IF(ISERROR($S338),"",OFFSET('Smelter Reference List'!$D$4,$S338-4,0)&amp;"")</f>
        <v/>
      </c>
      <c r="F338" s="292" t="str">
        <f ca="1">IF(ISERROR($S338),"",OFFSET('Smelter Reference List'!$E$4,$S338-4,0))</f>
        <v/>
      </c>
      <c r="G338" s="292" t="str">
        <f ca="1">IF(C338=$U$4,"Enter smelter details", IF(ISERROR($S338),"",OFFSET('Smelter Reference List'!$F$4,$S338-4,0)))</f>
        <v/>
      </c>
      <c r="H338" s="293" t="str">
        <f ca="1">IF(ISERROR($S338),"",OFFSET('Smelter Reference List'!$G$4,$S338-4,0))</f>
        <v/>
      </c>
      <c r="I338" s="294" t="str">
        <f ca="1">IF(ISERROR($S338),"",OFFSET('Smelter Reference List'!$H$4,$S338-4,0))</f>
        <v/>
      </c>
      <c r="J338" s="294" t="str">
        <f ca="1">IF(ISERROR($S338),"",OFFSET('Smelter Reference List'!$I$4,$S338-4,0))</f>
        <v/>
      </c>
      <c r="K338" s="295"/>
      <c r="L338" s="295"/>
      <c r="M338" s="295"/>
      <c r="N338" s="295"/>
      <c r="O338" s="295"/>
      <c r="P338" s="295"/>
      <c r="Q338" s="296"/>
      <c r="R338" s="227"/>
      <c r="S338" s="228" t="e">
        <f>IF(C338="",NA(),MATCH($B338&amp;$C338,'Smelter Reference List'!$J:$J,0))</f>
        <v>#N/A</v>
      </c>
      <c r="T338" s="229"/>
      <c r="U338" s="229">
        <f t="shared" ca="1" si="12"/>
        <v>0</v>
      </c>
      <c r="V338" s="229"/>
      <c r="W338" s="229"/>
      <c r="Y338" s="223" t="str">
        <f t="shared" si="13"/>
        <v/>
      </c>
    </row>
    <row r="339" spans="1:25" s="223" customFormat="1" ht="20.25">
      <c r="A339" s="291"/>
      <c r="B339" s="292" t="str">
        <f>IF(LEN(A339)=0,"",INDEX('Smelter Reference List'!$A:$A,MATCH($A339,'Smelter Reference List'!$E:$E,0)))</f>
        <v/>
      </c>
      <c r="C339" s="298" t="str">
        <f>IF(LEN(A339)=0,"",INDEX('Smelter Reference List'!$C:$C,MATCH($A339,'Smelter Reference List'!$E:$E,0)))</f>
        <v/>
      </c>
      <c r="D339" s="292" t="str">
        <f ca="1">IF(ISERROR($S339),"",OFFSET('Smelter Reference List'!$C$4,$S339-4,0)&amp;"")</f>
        <v/>
      </c>
      <c r="E339" s="292" t="str">
        <f ca="1">IF(ISERROR($S339),"",OFFSET('Smelter Reference List'!$D$4,$S339-4,0)&amp;"")</f>
        <v/>
      </c>
      <c r="F339" s="292" t="str">
        <f ca="1">IF(ISERROR($S339),"",OFFSET('Smelter Reference List'!$E$4,$S339-4,0))</f>
        <v/>
      </c>
      <c r="G339" s="292" t="str">
        <f ca="1">IF(C339=$U$4,"Enter smelter details", IF(ISERROR($S339),"",OFFSET('Smelter Reference List'!$F$4,$S339-4,0)))</f>
        <v/>
      </c>
      <c r="H339" s="293" t="str">
        <f ca="1">IF(ISERROR($S339),"",OFFSET('Smelter Reference List'!$G$4,$S339-4,0))</f>
        <v/>
      </c>
      <c r="I339" s="294" t="str">
        <f ca="1">IF(ISERROR($S339),"",OFFSET('Smelter Reference List'!$H$4,$S339-4,0))</f>
        <v/>
      </c>
      <c r="J339" s="294" t="str">
        <f ca="1">IF(ISERROR($S339),"",OFFSET('Smelter Reference List'!$I$4,$S339-4,0))</f>
        <v/>
      </c>
      <c r="K339" s="295"/>
      <c r="L339" s="295"/>
      <c r="M339" s="295"/>
      <c r="N339" s="295"/>
      <c r="O339" s="295"/>
      <c r="P339" s="295"/>
      <c r="Q339" s="296"/>
      <c r="R339" s="227"/>
      <c r="S339" s="228" t="e">
        <f>IF(C339="",NA(),MATCH($B339&amp;$C339,'Smelter Reference List'!$J:$J,0))</f>
        <v>#N/A</v>
      </c>
      <c r="T339" s="229"/>
      <c r="U339" s="229">
        <f t="shared" ca="1" si="12"/>
        <v>0</v>
      </c>
      <c r="V339" s="229"/>
      <c r="W339" s="229"/>
      <c r="Y339" s="223" t="str">
        <f t="shared" si="13"/>
        <v/>
      </c>
    </row>
    <row r="340" spans="1:25" s="223" customFormat="1" ht="20.25">
      <c r="A340" s="291"/>
      <c r="B340" s="292" t="str">
        <f>IF(LEN(A340)=0,"",INDEX('Smelter Reference List'!$A:$A,MATCH($A340,'Smelter Reference List'!$E:$E,0)))</f>
        <v/>
      </c>
      <c r="C340" s="298" t="str">
        <f>IF(LEN(A340)=0,"",INDEX('Smelter Reference List'!$C:$C,MATCH($A340,'Smelter Reference List'!$E:$E,0)))</f>
        <v/>
      </c>
      <c r="D340" s="292" t="str">
        <f ca="1">IF(ISERROR($S340),"",OFFSET('Smelter Reference List'!$C$4,$S340-4,0)&amp;"")</f>
        <v/>
      </c>
      <c r="E340" s="292" t="str">
        <f ca="1">IF(ISERROR($S340),"",OFFSET('Smelter Reference List'!$D$4,$S340-4,0)&amp;"")</f>
        <v/>
      </c>
      <c r="F340" s="292" t="str">
        <f ca="1">IF(ISERROR($S340),"",OFFSET('Smelter Reference List'!$E$4,$S340-4,0))</f>
        <v/>
      </c>
      <c r="G340" s="292" t="str">
        <f ca="1">IF(C340=$U$4,"Enter smelter details", IF(ISERROR($S340),"",OFFSET('Smelter Reference List'!$F$4,$S340-4,0)))</f>
        <v/>
      </c>
      <c r="H340" s="293" t="str">
        <f ca="1">IF(ISERROR($S340),"",OFFSET('Smelter Reference List'!$G$4,$S340-4,0))</f>
        <v/>
      </c>
      <c r="I340" s="294" t="str">
        <f ca="1">IF(ISERROR($S340),"",OFFSET('Smelter Reference List'!$H$4,$S340-4,0))</f>
        <v/>
      </c>
      <c r="J340" s="294" t="str">
        <f ca="1">IF(ISERROR($S340),"",OFFSET('Smelter Reference List'!$I$4,$S340-4,0))</f>
        <v/>
      </c>
      <c r="K340" s="295"/>
      <c r="L340" s="295"/>
      <c r="M340" s="295"/>
      <c r="N340" s="295"/>
      <c r="O340" s="295"/>
      <c r="P340" s="295"/>
      <c r="Q340" s="296"/>
      <c r="R340" s="227"/>
      <c r="S340" s="228" t="e">
        <f>IF(C340="",NA(),MATCH($B340&amp;$C340,'Smelter Reference List'!$J:$J,0))</f>
        <v>#N/A</v>
      </c>
      <c r="T340" s="229"/>
      <c r="U340" s="229">
        <f t="shared" ca="1" si="12"/>
        <v>0</v>
      </c>
      <c r="V340" s="229"/>
      <c r="W340" s="229"/>
      <c r="Y340" s="223" t="str">
        <f t="shared" si="13"/>
        <v/>
      </c>
    </row>
    <row r="341" spans="1:25" s="223" customFormat="1" ht="20.25">
      <c r="A341" s="291"/>
      <c r="B341" s="292" t="str">
        <f>IF(LEN(A341)=0,"",INDEX('Smelter Reference List'!$A:$A,MATCH($A341,'Smelter Reference List'!$E:$E,0)))</f>
        <v/>
      </c>
      <c r="C341" s="298" t="str">
        <f>IF(LEN(A341)=0,"",INDEX('Smelter Reference List'!$C:$C,MATCH($A341,'Smelter Reference List'!$E:$E,0)))</f>
        <v/>
      </c>
      <c r="D341" s="292" t="str">
        <f ca="1">IF(ISERROR($S341),"",OFFSET('Smelter Reference List'!$C$4,$S341-4,0)&amp;"")</f>
        <v/>
      </c>
      <c r="E341" s="292" t="str">
        <f ca="1">IF(ISERROR($S341),"",OFFSET('Smelter Reference List'!$D$4,$S341-4,0)&amp;"")</f>
        <v/>
      </c>
      <c r="F341" s="292" t="str">
        <f ca="1">IF(ISERROR($S341),"",OFFSET('Smelter Reference List'!$E$4,$S341-4,0))</f>
        <v/>
      </c>
      <c r="G341" s="292" t="str">
        <f ca="1">IF(C341=$U$4,"Enter smelter details", IF(ISERROR($S341),"",OFFSET('Smelter Reference List'!$F$4,$S341-4,0)))</f>
        <v/>
      </c>
      <c r="H341" s="293" t="str">
        <f ca="1">IF(ISERROR($S341),"",OFFSET('Smelter Reference List'!$G$4,$S341-4,0))</f>
        <v/>
      </c>
      <c r="I341" s="294" t="str">
        <f ca="1">IF(ISERROR($S341),"",OFFSET('Smelter Reference List'!$H$4,$S341-4,0))</f>
        <v/>
      </c>
      <c r="J341" s="294" t="str">
        <f ca="1">IF(ISERROR($S341),"",OFFSET('Smelter Reference List'!$I$4,$S341-4,0))</f>
        <v/>
      </c>
      <c r="K341" s="295"/>
      <c r="L341" s="295"/>
      <c r="M341" s="295"/>
      <c r="N341" s="295"/>
      <c r="O341" s="295"/>
      <c r="P341" s="295"/>
      <c r="Q341" s="296"/>
      <c r="R341" s="227"/>
      <c r="S341" s="228" t="e">
        <f>IF(C341="",NA(),MATCH($B341&amp;$C341,'Smelter Reference List'!$J:$J,0))</f>
        <v>#N/A</v>
      </c>
      <c r="T341" s="229"/>
      <c r="U341" s="229">
        <f t="shared" ca="1" si="12"/>
        <v>0</v>
      </c>
      <c r="V341" s="229"/>
      <c r="W341" s="229"/>
      <c r="Y341" s="223" t="str">
        <f t="shared" si="13"/>
        <v/>
      </c>
    </row>
    <row r="342" spans="1:25" s="223" customFormat="1" ht="20.25">
      <c r="A342" s="291"/>
      <c r="B342" s="292" t="str">
        <f>IF(LEN(A342)=0,"",INDEX('Smelter Reference List'!$A:$A,MATCH($A342,'Smelter Reference List'!$E:$E,0)))</f>
        <v/>
      </c>
      <c r="C342" s="298" t="str">
        <f>IF(LEN(A342)=0,"",INDEX('Smelter Reference List'!$C:$C,MATCH($A342,'Smelter Reference List'!$E:$E,0)))</f>
        <v/>
      </c>
      <c r="D342" s="292" t="str">
        <f ca="1">IF(ISERROR($S342),"",OFFSET('Smelter Reference List'!$C$4,$S342-4,0)&amp;"")</f>
        <v/>
      </c>
      <c r="E342" s="292" t="str">
        <f ca="1">IF(ISERROR($S342),"",OFFSET('Smelter Reference List'!$D$4,$S342-4,0)&amp;"")</f>
        <v/>
      </c>
      <c r="F342" s="292" t="str">
        <f ca="1">IF(ISERROR($S342),"",OFFSET('Smelter Reference List'!$E$4,$S342-4,0))</f>
        <v/>
      </c>
      <c r="G342" s="292" t="str">
        <f ca="1">IF(C342=$U$4,"Enter smelter details", IF(ISERROR($S342),"",OFFSET('Smelter Reference List'!$F$4,$S342-4,0)))</f>
        <v/>
      </c>
      <c r="H342" s="293" t="str">
        <f ca="1">IF(ISERROR($S342),"",OFFSET('Smelter Reference List'!$G$4,$S342-4,0))</f>
        <v/>
      </c>
      <c r="I342" s="294" t="str">
        <f ca="1">IF(ISERROR($S342),"",OFFSET('Smelter Reference List'!$H$4,$S342-4,0))</f>
        <v/>
      </c>
      <c r="J342" s="294" t="str">
        <f ca="1">IF(ISERROR($S342),"",OFFSET('Smelter Reference List'!$I$4,$S342-4,0))</f>
        <v/>
      </c>
      <c r="K342" s="295"/>
      <c r="L342" s="295"/>
      <c r="M342" s="295"/>
      <c r="N342" s="295"/>
      <c r="O342" s="295"/>
      <c r="P342" s="295"/>
      <c r="Q342" s="296"/>
      <c r="R342" s="227"/>
      <c r="S342" s="228" t="e">
        <f>IF(C342="",NA(),MATCH($B342&amp;$C342,'Smelter Reference List'!$J:$J,0))</f>
        <v>#N/A</v>
      </c>
      <c r="T342" s="229"/>
      <c r="U342" s="229">
        <f t="shared" ca="1" si="12"/>
        <v>0</v>
      </c>
      <c r="V342" s="229"/>
      <c r="W342" s="229"/>
      <c r="Y342" s="223" t="str">
        <f t="shared" si="13"/>
        <v/>
      </c>
    </row>
    <row r="343" spans="1:25" s="223" customFormat="1" ht="20.25">
      <c r="A343" s="291"/>
      <c r="B343" s="292" t="str">
        <f>IF(LEN(A343)=0,"",INDEX('Smelter Reference List'!$A:$A,MATCH($A343,'Smelter Reference List'!$E:$E,0)))</f>
        <v/>
      </c>
      <c r="C343" s="298" t="str">
        <f>IF(LEN(A343)=0,"",INDEX('Smelter Reference List'!$C:$C,MATCH($A343,'Smelter Reference List'!$E:$E,0)))</f>
        <v/>
      </c>
      <c r="D343" s="292" t="str">
        <f ca="1">IF(ISERROR($S343),"",OFFSET('Smelter Reference List'!$C$4,$S343-4,0)&amp;"")</f>
        <v/>
      </c>
      <c r="E343" s="292" t="str">
        <f ca="1">IF(ISERROR($S343),"",OFFSET('Smelter Reference List'!$D$4,$S343-4,0)&amp;"")</f>
        <v/>
      </c>
      <c r="F343" s="292" t="str">
        <f ca="1">IF(ISERROR($S343),"",OFFSET('Smelter Reference List'!$E$4,$S343-4,0))</f>
        <v/>
      </c>
      <c r="G343" s="292" t="str">
        <f ca="1">IF(C343=$U$4,"Enter smelter details", IF(ISERROR($S343),"",OFFSET('Smelter Reference List'!$F$4,$S343-4,0)))</f>
        <v/>
      </c>
      <c r="H343" s="293" t="str">
        <f ca="1">IF(ISERROR($S343),"",OFFSET('Smelter Reference List'!$G$4,$S343-4,0))</f>
        <v/>
      </c>
      <c r="I343" s="294" t="str">
        <f ca="1">IF(ISERROR($S343),"",OFFSET('Smelter Reference List'!$H$4,$S343-4,0))</f>
        <v/>
      </c>
      <c r="J343" s="294" t="str">
        <f ca="1">IF(ISERROR($S343),"",OFFSET('Smelter Reference List'!$I$4,$S343-4,0))</f>
        <v/>
      </c>
      <c r="K343" s="295"/>
      <c r="L343" s="295"/>
      <c r="M343" s="295"/>
      <c r="N343" s="295"/>
      <c r="O343" s="295"/>
      <c r="P343" s="295"/>
      <c r="Q343" s="296"/>
      <c r="R343" s="227"/>
      <c r="S343" s="228" t="e">
        <f>IF(C343="",NA(),MATCH($B343&amp;$C343,'Smelter Reference List'!$J:$J,0))</f>
        <v>#N/A</v>
      </c>
      <c r="T343" s="229"/>
      <c r="U343" s="229">
        <f t="shared" ca="1" si="12"/>
        <v>0</v>
      </c>
      <c r="V343" s="229"/>
      <c r="W343" s="229"/>
      <c r="Y343" s="223" t="str">
        <f t="shared" si="13"/>
        <v/>
      </c>
    </row>
    <row r="344" spans="1:25" s="223" customFormat="1" ht="20.25">
      <c r="A344" s="291"/>
      <c r="B344" s="292" t="str">
        <f>IF(LEN(A344)=0,"",INDEX('Smelter Reference List'!$A:$A,MATCH($A344,'Smelter Reference List'!$E:$E,0)))</f>
        <v/>
      </c>
      <c r="C344" s="298" t="str">
        <f>IF(LEN(A344)=0,"",INDEX('Smelter Reference List'!$C:$C,MATCH($A344,'Smelter Reference List'!$E:$E,0)))</f>
        <v/>
      </c>
      <c r="D344" s="292" t="str">
        <f ca="1">IF(ISERROR($S344),"",OFFSET('Smelter Reference List'!$C$4,$S344-4,0)&amp;"")</f>
        <v/>
      </c>
      <c r="E344" s="292" t="str">
        <f ca="1">IF(ISERROR($S344),"",OFFSET('Smelter Reference List'!$D$4,$S344-4,0)&amp;"")</f>
        <v/>
      </c>
      <c r="F344" s="292" t="str">
        <f ca="1">IF(ISERROR($S344),"",OFFSET('Smelter Reference List'!$E$4,$S344-4,0))</f>
        <v/>
      </c>
      <c r="G344" s="292" t="str">
        <f ca="1">IF(C344=$U$4,"Enter smelter details", IF(ISERROR($S344),"",OFFSET('Smelter Reference List'!$F$4,$S344-4,0)))</f>
        <v/>
      </c>
      <c r="H344" s="293" t="str">
        <f ca="1">IF(ISERROR($S344),"",OFFSET('Smelter Reference List'!$G$4,$S344-4,0))</f>
        <v/>
      </c>
      <c r="I344" s="294" t="str">
        <f ca="1">IF(ISERROR($S344),"",OFFSET('Smelter Reference List'!$H$4,$S344-4,0))</f>
        <v/>
      </c>
      <c r="J344" s="294" t="str">
        <f ca="1">IF(ISERROR($S344),"",OFFSET('Smelter Reference List'!$I$4,$S344-4,0))</f>
        <v/>
      </c>
      <c r="K344" s="295"/>
      <c r="L344" s="295"/>
      <c r="M344" s="295"/>
      <c r="N344" s="295"/>
      <c r="O344" s="295"/>
      <c r="P344" s="295"/>
      <c r="Q344" s="296"/>
      <c r="R344" s="227"/>
      <c r="S344" s="228" t="e">
        <f>IF(C344="",NA(),MATCH($B344&amp;$C344,'Smelter Reference List'!$J:$J,0))</f>
        <v>#N/A</v>
      </c>
      <c r="T344" s="229"/>
      <c r="U344" s="229">
        <f t="shared" ca="1" si="12"/>
        <v>0</v>
      </c>
      <c r="V344" s="229"/>
      <c r="W344" s="229"/>
      <c r="Y344" s="223" t="str">
        <f t="shared" si="13"/>
        <v/>
      </c>
    </row>
    <row r="345" spans="1:25" s="223" customFormat="1" ht="20.25">
      <c r="A345" s="291"/>
      <c r="B345" s="292" t="str">
        <f>IF(LEN(A345)=0,"",INDEX('Smelter Reference List'!$A:$A,MATCH($A345,'Smelter Reference List'!$E:$E,0)))</f>
        <v/>
      </c>
      <c r="C345" s="298" t="str">
        <f>IF(LEN(A345)=0,"",INDEX('Smelter Reference List'!$C:$C,MATCH($A345,'Smelter Reference List'!$E:$E,0)))</f>
        <v/>
      </c>
      <c r="D345" s="292" t="str">
        <f ca="1">IF(ISERROR($S345),"",OFFSET('Smelter Reference List'!$C$4,$S345-4,0)&amp;"")</f>
        <v/>
      </c>
      <c r="E345" s="292" t="str">
        <f ca="1">IF(ISERROR($S345),"",OFFSET('Smelter Reference List'!$D$4,$S345-4,0)&amp;"")</f>
        <v/>
      </c>
      <c r="F345" s="292" t="str">
        <f ca="1">IF(ISERROR($S345),"",OFFSET('Smelter Reference List'!$E$4,$S345-4,0))</f>
        <v/>
      </c>
      <c r="G345" s="292" t="str">
        <f ca="1">IF(C345=$U$4,"Enter smelter details", IF(ISERROR($S345),"",OFFSET('Smelter Reference List'!$F$4,$S345-4,0)))</f>
        <v/>
      </c>
      <c r="H345" s="293" t="str">
        <f ca="1">IF(ISERROR($S345),"",OFFSET('Smelter Reference List'!$G$4,$S345-4,0))</f>
        <v/>
      </c>
      <c r="I345" s="294" t="str">
        <f ca="1">IF(ISERROR($S345),"",OFFSET('Smelter Reference List'!$H$4,$S345-4,0))</f>
        <v/>
      </c>
      <c r="J345" s="294" t="str">
        <f ca="1">IF(ISERROR($S345),"",OFFSET('Smelter Reference List'!$I$4,$S345-4,0))</f>
        <v/>
      </c>
      <c r="K345" s="295"/>
      <c r="L345" s="295"/>
      <c r="M345" s="295"/>
      <c r="N345" s="295"/>
      <c r="O345" s="295"/>
      <c r="P345" s="295"/>
      <c r="Q345" s="296"/>
      <c r="R345" s="227"/>
      <c r="S345" s="228" t="e">
        <f>IF(C345="",NA(),MATCH($B345&amp;$C345,'Smelter Reference List'!$J:$J,0))</f>
        <v>#N/A</v>
      </c>
      <c r="T345" s="229"/>
      <c r="U345" s="229">
        <f t="shared" ca="1" si="12"/>
        <v>0</v>
      </c>
      <c r="V345" s="229"/>
      <c r="W345" s="229"/>
      <c r="Y345" s="223" t="str">
        <f t="shared" si="13"/>
        <v/>
      </c>
    </row>
    <row r="346" spans="1:25" s="223" customFormat="1" ht="20.25">
      <c r="A346" s="291"/>
      <c r="B346" s="292" t="str">
        <f>IF(LEN(A346)=0,"",INDEX('Smelter Reference List'!$A:$A,MATCH($A346,'Smelter Reference List'!$E:$E,0)))</f>
        <v/>
      </c>
      <c r="C346" s="298" t="str">
        <f>IF(LEN(A346)=0,"",INDEX('Smelter Reference List'!$C:$C,MATCH($A346,'Smelter Reference List'!$E:$E,0)))</f>
        <v/>
      </c>
      <c r="D346" s="292" t="str">
        <f ca="1">IF(ISERROR($S346),"",OFFSET('Smelter Reference List'!$C$4,$S346-4,0)&amp;"")</f>
        <v/>
      </c>
      <c r="E346" s="292" t="str">
        <f ca="1">IF(ISERROR($S346),"",OFFSET('Smelter Reference List'!$D$4,$S346-4,0)&amp;"")</f>
        <v/>
      </c>
      <c r="F346" s="292" t="str">
        <f ca="1">IF(ISERROR($S346),"",OFFSET('Smelter Reference List'!$E$4,$S346-4,0))</f>
        <v/>
      </c>
      <c r="G346" s="292" t="str">
        <f ca="1">IF(C346=$U$4,"Enter smelter details", IF(ISERROR($S346),"",OFFSET('Smelter Reference List'!$F$4,$S346-4,0)))</f>
        <v/>
      </c>
      <c r="H346" s="293" t="str">
        <f ca="1">IF(ISERROR($S346),"",OFFSET('Smelter Reference List'!$G$4,$S346-4,0))</f>
        <v/>
      </c>
      <c r="I346" s="294" t="str">
        <f ca="1">IF(ISERROR($S346),"",OFFSET('Smelter Reference List'!$H$4,$S346-4,0))</f>
        <v/>
      </c>
      <c r="J346" s="294" t="str">
        <f ca="1">IF(ISERROR($S346),"",OFFSET('Smelter Reference List'!$I$4,$S346-4,0))</f>
        <v/>
      </c>
      <c r="K346" s="295"/>
      <c r="L346" s="295"/>
      <c r="M346" s="295"/>
      <c r="N346" s="295"/>
      <c r="O346" s="295"/>
      <c r="P346" s="295"/>
      <c r="Q346" s="296"/>
      <c r="R346" s="227"/>
      <c r="S346" s="228" t="e">
        <f>IF(C346="",NA(),MATCH($B346&amp;$C346,'Smelter Reference List'!$J:$J,0))</f>
        <v>#N/A</v>
      </c>
      <c r="T346" s="229"/>
      <c r="U346" s="229">
        <f t="shared" ca="1" si="12"/>
        <v>0</v>
      </c>
      <c r="V346" s="229"/>
      <c r="W346" s="229"/>
      <c r="Y346" s="223" t="str">
        <f t="shared" si="13"/>
        <v/>
      </c>
    </row>
    <row r="347" spans="1:25" s="223" customFormat="1" ht="20.25">
      <c r="A347" s="291"/>
      <c r="B347" s="292" t="str">
        <f>IF(LEN(A347)=0,"",INDEX('Smelter Reference List'!$A:$A,MATCH($A347,'Smelter Reference List'!$E:$E,0)))</f>
        <v/>
      </c>
      <c r="C347" s="298" t="str">
        <f>IF(LEN(A347)=0,"",INDEX('Smelter Reference List'!$C:$C,MATCH($A347,'Smelter Reference List'!$E:$E,0)))</f>
        <v/>
      </c>
      <c r="D347" s="292" t="str">
        <f ca="1">IF(ISERROR($S347),"",OFFSET('Smelter Reference List'!$C$4,$S347-4,0)&amp;"")</f>
        <v/>
      </c>
      <c r="E347" s="292" t="str">
        <f ca="1">IF(ISERROR($S347),"",OFFSET('Smelter Reference List'!$D$4,$S347-4,0)&amp;"")</f>
        <v/>
      </c>
      <c r="F347" s="292" t="str">
        <f ca="1">IF(ISERROR($S347),"",OFFSET('Smelter Reference List'!$E$4,$S347-4,0))</f>
        <v/>
      </c>
      <c r="G347" s="292" t="str">
        <f ca="1">IF(C347=$U$4,"Enter smelter details", IF(ISERROR($S347),"",OFFSET('Smelter Reference List'!$F$4,$S347-4,0)))</f>
        <v/>
      </c>
      <c r="H347" s="293" t="str">
        <f ca="1">IF(ISERROR($S347),"",OFFSET('Smelter Reference List'!$G$4,$S347-4,0))</f>
        <v/>
      </c>
      <c r="I347" s="294" t="str">
        <f ca="1">IF(ISERROR($S347),"",OFFSET('Smelter Reference List'!$H$4,$S347-4,0))</f>
        <v/>
      </c>
      <c r="J347" s="294" t="str">
        <f ca="1">IF(ISERROR($S347),"",OFFSET('Smelter Reference List'!$I$4,$S347-4,0))</f>
        <v/>
      </c>
      <c r="K347" s="295"/>
      <c r="L347" s="295"/>
      <c r="M347" s="295"/>
      <c r="N347" s="295"/>
      <c r="O347" s="295"/>
      <c r="P347" s="295"/>
      <c r="Q347" s="296"/>
      <c r="R347" s="227"/>
      <c r="S347" s="228" t="e">
        <f>IF(C347="",NA(),MATCH($B347&amp;$C347,'Smelter Reference List'!$J:$J,0))</f>
        <v>#N/A</v>
      </c>
      <c r="T347" s="229"/>
      <c r="U347" s="229">
        <f t="shared" ca="1" si="12"/>
        <v>0</v>
      </c>
      <c r="V347" s="229"/>
      <c r="W347" s="229"/>
      <c r="Y347" s="223" t="str">
        <f t="shared" si="13"/>
        <v/>
      </c>
    </row>
    <row r="348" spans="1:25" s="223" customFormat="1" ht="20.25">
      <c r="A348" s="291"/>
      <c r="B348" s="292" t="str">
        <f>IF(LEN(A348)=0,"",INDEX('Smelter Reference List'!$A:$A,MATCH($A348,'Smelter Reference List'!$E:$E,0)))</f>
        <v/>
      </c>
      <c r="C348" s="298" t="str">
        <f>IF(LEN(A348)=0,"",INDEX('Smelter Reference List'!$C:$C,MATCH($A348,'Smelter Reference List'!$E:$E,0)))</f>
        <v/>
      </c>
      <c r="D348" s="292" t="str">
        <f ca="1">IF(ISERROR($S348),"",OFFSET('Smelter Reference List'!$C$4,$S348-4,0)&amp;"")</f>
        <v/>
      </c>
      <c r="E348" s="292" t="str">
        <f ca="1">IF(ISERROR($S348),"",OFFSET('Smelter Reference List'!$D$4,$S348-4,0)&amp;"")</f>
        <v/>
      </c>
      <c r="F348" s="292" t="str">
        <f ca="1">IF(ISERROR($S348),"",OFFSET('Smelter Reference List'!$E$4,$S348-4,0))</f>
        <v/>
      </c>
      <c r="G348" s="292" t="str">
        <f ca="1">IF(C348=$U$4,"Enter smelter details", IF(ISERROR($S348),"",OFFSET('Smelter Reference List'!$F$4,$S348-4,0)))</f>
        <v/>
      </c>
      <c r="H348" s="293" t="str">
        <f ca="1">IF(ISERROR($S348),"",OFFSET('Smelter Reference List'!$G$4,$S348-4,0))</f>
        <v/>
      </c>
      <c r="I348" s="294" t="str">
        <f ca="1">IF(ISERROR($S348),"",OFFSET('Smelter Reference List'!$H$4,$S348-4,0))</f>
        <v/>
      </c>
      <c r="J348" s="294" t="str">
        <f ca="1">IF(ISERROR($S348),"",OFFSET('Smelter Reference List'!$I$4,$S348-4,0))</f>
        <v/>
      </c>
      <c r="K348" s="295"/>
      <c r="L348" s="295"/>
      <c r="M348" s="295"/>
      <c r="N348" s="295"/>
      <c r="O348" s="295"/>
      <c r="P348" s="295"/>
      <c r="Q348" s="296"/>
      <c r="R348" s="227"/>
      <c r="S348" s="228" t="e">
        <f>IF(C348="",NA(),MATCH($B348&amp;$C348,'Smelter Reference List'!$J:$J,0))</f>
        <v>#N/A</v>
      </c>
      <c r="T348" s="229"/>
      <c r="U348" s="229">
        <f t="shared" ca="1" si="12"/>
        <v>0</v>
      </c>
      <c r="V348" s="229"/>
      <c r="W348" s="229"/>
      <c r="Y348" s="223" t="str">
        <f t="shared" si="13"/>
        <v/>
      </c>
    </row>
    <row r="349" spans="1:25" s="223" customFormat="1" ht="20.25">
      <c r="A349" s="291"/>
      <c r="B349" s="292" t="str">
        <f>IF(LEN(A349)=0,"",INDEX('Smelter Reference List'!$A:$A,MATCH($A349,'Smelter Reference List'!$E:$E,0)))</f>
        <v/>
      </c>
      <c r="C349" s="298" t="str">
        <f>IF(LEN(A349)=0,"",INDEX('Smelter Reference List'!$C:$C,MATCH($A349,'Smelter Reference List'!$E:$E,0)))</f>
        <v/>
      </c>
      <c r="D349" s="292" t="str">
        <f ca="1">IF(ISERROR($S349),"",OFFSET('Smelter Reference List'!$C$4,$S349-4,0)&amp;"")</f>
        <v/>
      </c>
      <c r="E349" s="292" t="str">
        <f ca="1">IF(ISERROR($S349),"",OFFSET('Smelter Reference List'!$D$4,$S349-4,0)&amp;"")</f>
        <v/>
      </c>
      <c r="F349" s="292" t="str">
        <f ca="1">IF(ISERROR($S349),"",OFFSET('Smelter Reference List'!$E$4,$S349-4,0))</f>
        <v/>
      </c>
      <c r="G349" s="292" t="str">
        <f ca="1">IF(C349=$U$4,"Enter smelter details", IF(ISERROR($S349),"",OFFSET('Smelter Reference List'!$F$4,$S349-4,0)))</f>
        <v/>
      </c>
      <c r="H349" s="293" t="str">
        <f ca="1">IF(ISERROR($S349),"",OFFSET('Smelter Reference List'!$G$4,$S349-4,0))</f>
        <v/>
      </c>
      <c r="I349" s="294" t="str">
        <f ca="1">IF(ISERROR($S349),"",OFFSET('Smelter Reference List'!$H$4,$S349-4,0))</f>
        <v/>
      </c>
      <c r="J349" s="294" t="str">
        <f ca="1">IF(ISERROR($S349),"",OFFSET('Smelter Reference List'!$I$4,$S349-4,0))</f>
        <v/>
      </c>
      <c r="K349" s="295"/>
      <c r="L349" s="295"/>
      <c r="M349" s="295"/>
      <c r="N349" s="295"/>
      <c r="O349" s="295"/>
      <c r="P349" s="295"/>
      <c r="Q349" s="296"/>
      <c r="R349" s="227"/>
      <c r="S349" s="228" t="e">
        <f>IF(C349="",NA(),MATCH($B349&amp;$C349,'Smelter Reference List'!$J:$J,0))</f>
        <v>#N/A</v>
      </c>
      <c r="T349" s="229"/>
      <c r="U349" s="229">
        <f t="shared" ca="1" si="12"/>
        <v>0</v>
      </c>
      <c r="V349" s="229"/>
      <c r="W349" s="229"/>
      <c r="Y349" s="223" t="str">
        <f t="shared" si="13"/>
        <v/>
      </c>
    </row>
    <row r="350" spans="1:25" s="223" customFormat="1" ht="20.25">
      <c r="A350" s="291"/>
      <c r="B350" s="292" t="str">
        <f>IF(LEN(A350)=0,"",INDEX('Smelter Reference List'!$A:$A,MATCH($A350,'Smelter Reference List'!$E:$E,0)))</f>
        <v/>
      </c>
      <c r="C350" s="298" t="str">
        <f>IF(LEN(A350)=0,"",INDEX('Smelter Reference List'!$C:$C,MATCH($A350,'Smelter Reference List'!$E:$E,0)))</f>
        <v/>
      </c>
      <c r="D350" s="292" t="str">
        <f ca="1">IF(ISERROR($S350),"",OFFSET('Smelter Reference List'!$C$4,$S350-4,0)&amp;"")</f>
        <v/>
      </c>
      <c r="E350" s="292" t="str">
        <f ca="1">IF(ISERROR($S350),"",OFFSET('Smelter Reference List'!$D$4,$S350-4,0)&amp;"")</f>
        <v/>
      </c>
      <c r="F350" s="292" t="str">
        <f ca="1">IF(ISERROR($S350),"",OFFSET('Smelter Reference List'!$E$4,$S350-4,0))</f>
        <v/>
      </c>
      <c r="G350" s="292" t="str">
        <f ca="1">IF(C350=$U$4,"Enter smelter details", IF(ISERROR($S350),"",OFFSET('Smelter Reference List'!$F$4,$S350-4,0)))</f>
        <v/>
      </c>
      <c r="H350" s="293" t="str">
        <f ca="1">IF(ISERROR($S350),"",OFFSET('Smelter Reference List'!$G$4,$S350-4,0))</f>
        <v/>
      </c>
      <c r="I350" s="294" t="str">
        <f ca="1">IF(ISERROR($S350),"",OFFSET('Smelter Reference List'!$H$4,$S350-4,0))</f>
        <v/>
      </c>
      <c r="J350" s="294" t="str">
        <f ca="1">IF(ISERROR($S350),"",OFFSET('Smelter Reference List'!$I$4,$S350-4,0))</f>
        <v/>
      </c>
      <c r="K350" s="295"/>
      <c r="L350" s="295"/>
      <c r="M350" s="295"/>
      <c r="N350" s="295"/>
      <c r="O350" s="295"/>
      <c r="P350" s="295"/>
      <c r="Q350" s="296"/>
      <c r="R350" s="227"/>
      <c r="S350" s="228" t="e">
        <f>IF(C350="",NA(),MATCH($B350&amp;$C350,'Smelter Reference List'!$J:$J,0))</f>
        <v>#N/A</v>
      </c>
      <c r="T350" s="229"/>
      <c r="U350" s="229">
        <f t="shared" ca="1" si="12"/>
        <v>0</v>
      </c>
      <c r="V350" s="229"/>
      <c r="W350" s="229"/>
      <c r="Y350" s="223" t="str">
        <f t="shared" si="13"/>
        <v/>
      </c>
    </row>
    <row r="351" spans="1:25" s="223" customFormat="1" ht="20.25">
      <c r="A351" s="291"/>
      <c r="B351" s="292" t="str">
        <f>IF(LEN(A351)=0,"",INDEX('Smelter Reference List'!$A:$A,MATCH($A351,'Smelter Reference List'!$E:$E,0)))</f>
        <v/>
      </c>
      <c r="C351" s="298" t="str">
        <f>IF(LEN(A351)=0,"",INDEX('Smelter Reference List'!$C:$C,MATCH($A351,'Smelter Reference List'!$E:$E,0)))</f>
        <v/>
      </c>
      <c r="D351" s="292" t="str">
        <f ca="1">IF(ISERROR($S351),"",OFFSET('Smelter Reference List'!$C$4,$S351-4,0)&amp;"")</f>
        <v/>
      </c>
      <c r="E351" s="292" t="str">
        <f ca="1">IF(ISERROR($S351),"",OFFSET('Smelter Reference List'!$D$4,$S351-4,0)&amp;"")</f>
        <v/>
      </c>
      <c r="F351" s="292" t="str">
        <f ca="1">IF(ISERROR($S351),"",OFFSET('Smelter Reference List'!$E$4,$S351-4,0))</f>
        <v/>
      </c>
      <c r="G351" s="292" t="str">
        <f ca="1">IF(C351=$U$4,"Enter smelter details", IF(ISERROR($S351),"",OFFSET('Smelter Reference List'!$F$4,$S351-4,0)))</f>
        <v/>
      </c>
      <c r="H351" s="293" t="str">
        <f ca="1">IF(ISERROR($S351),"",OFFSET('Smelter Reference List'!$G$4,$S351-4,0))</f>
        <v/>
      </c>
      <c r="I351" s="294" t="str">
        <f ca="1">IF(ISERROR($S351),"",OFFSET('Smelter Reference List'!$H$4,$S351-4,0))</f>
        <v/>
      </c>
      <c r="J351" s="294" t="str">
        <f ca="1">IF(ISERROR($S351),"",OFFSET('Smelter Reference List'!$I$4,$S351-4,0))</f>
        <v/>
      </c>
      <c r="K351" s="295"/>
      <c r="L351" s="295"/>
      <c r="M351" s="295"/>
      <c r="N351" s="295"/>
      <c r="O351" s="295"/>
      <c r="P351" s="295"/>
      <c r="Q351" s="296"/>
      <c r="R351" s="227"/>
      <c r="S351" s="228" t="e">
        <f>IF(C351="",NA(),MATCH($B351&amp;$C351,'Smelter Reference List'!$J:$J,0))</f>
        <v>#N/A</v>
      </c>
      <c r="T351" s="229"/>
      <c r="U351" s="229">
        <f t="shared" ca="1" si="12"/>
        <v>0</v>
      </c>
      <c r="V351" s="229"/>
      <c r="W351" s="229"/>
      <c r="Y351" s="223" t="str">
        <f t="shared" si="13"/>
        <v/>
      </c>
    </row>
    <row r="352" spans="1:25" s="223" customFormat="1" ht="20.25">
      <c r="A352" s="291"/>
      <c r="B352" s="292" t="str">
        <f>IF(LEN(A352)=0,"",INDEX('Smelter Reference List'!$A:$A,MATCH($A352,'Smelter Reference List'!$E:$E,0)))</f>
        <v/>
      </c>
      <c r="C352" s="298" t="str">
        <f>IF(LEN(A352)=0,"",INDEX('Smelter Reference List'!$C:$C,MATCH($A352,'Smelter Reference List'!$E:$E,0)))</f>
        <v/>
      </c>
      <c r="D352" s="292" t="str">
        <f ca="1">IF(ISERROR($S352),"",OFFSET('Smelter Reference List'!$C$4,$S352-4,0)&amp;"")</f>
        <v/>
      </c>
      <c r="E352" s="292" t="str">
        <f ca="1">IF(ISERROR($S352),"",OFFSET('Smelter Reference List'!$D$4,$S352-4,0)&amp;"")</f>
        <v/>
      </c>
      <c r="F352" s="292" t="str">
        <f ca="1">IF(ISERROR($S352),"",OFFSET('Smelter Reference List'!$E$4,$S352-4,0))</f>
        <v/>
      </c>
      <c r="G352" s="292" t="str">
        <f ca="1">IF(C352=$U$4,"Enter smelter details", IF(ISERROR($S352),"",OFFSET('Smelter Reference List'!$F$4,$S352-4,0)))</f>
        <v/>
      </c>
      <c r="H352" s="293" t="str">
        <f ca="1">IF(ISERROR($S352),"",OFFSET('Smelter Reference List'!$G$4,$S352-4,0))</f>
        <v/>
      </c>
      <c r="I352" s="294" t="str">
        <f ca="1">IF(ISERROR($S352),"",OFFSET('Smelter Reference List'!$H$4,$S352-4,0))</f>
        <v/>
      </c>
      <c r="J352" s="294" t="str">
        <f ca="1">IF(ISERROR($S352),"",OFFSET('Smelter Reference List'!$I$4,$S352-4,0))</f>
        <v/>
      </c>
      <c r="K352" s="295"/>
      <c r="L352" s="295"/>
      <c r="M352" s="295"/>
      <c r="N352" s="295"/>
      <c r="O352" s="295"/>
      <c r="P352" s="295"/>
      <c r="Q352" s="296"/>
      <c r="R352" s="227"/>
      <c r="S352" s="228" t="e">
        <f>IF(C352="",NA(),MATCH($B352&amp;$C352,'Smelter Reference List'!$J:$J,0))</f>
        <v>#N/A</v>
      </c>
      <c r="T352" s="229"/>
      <c r="U352" s="229">
        <f t="shared" ca="1" si="12"/>
        <v>0</v>
      </c>
      <c r="V352" s="229"/>
      <c r="W352" s="229"/>
      <c r="Y352" s="223" t="str">
        <f t="shared" si="13"/>
        <v/>
      </c>
    </row>
    <row r="353" spans="1:25" s="223" customFormat="1" ht="20.25">
      <c r="A353" s="291"/>
      <c r="B353" s="292" t="str">
        <f>IF(LEN(A353)=0,"",INDEX('Smelter Reference List'!$A:$A,MATCH($A353,'Smelter Reference List'!$E:$E,0)))</f>
        <v/>
      </c>
      <c r="C353" s="298" t="str">
        <f>IF(LEN(A353)=0,"",INDEX('Smelter Reference List'!$C:$C,MATCH($A353,'Smelter Reference List'!$E:$E,0)))</f>
        <v/>
      </c>
      <c r="D353" s="292" t="str">
        <f ca="1">IF(ISERROR($S353),"",OFFSET('Smelter Reference List'!$C$4,$S353-4,0)&amp;"")</f>
        <v/>
      </c>
      <c r="E353" s="292" t="str">
        <f ca="1">IF(ISERROR($S353),"",OFFSET('Smelter Reference List'!$D$4,$S353-4,0)&amp;"")</f>
        <v/>
      </c>
      <c r="F353" s="292" t="str">
        <f ca="1">IF(ISERROR($S353),"",OFFSET('Smelter Reference List'!$E$4,$S353-4,0))</f>
        <v/>
      </c>
      <c r="G353" s="292" t="str">
        <f ca="1">IF(C353=$U$4,"Enter smelter details", IF(ISERROR($S353),"",OFFSET('Smelter Reference List'!$F$4,$S353-4,0)))</f>
        <v/>
      </c>
      <c r="H353" s="293" t="str">
        <f ca="1">IF(ISERROR($S353),"",OFFSET('Smelter Reference List'!$G$4,$S353-4,0))</f>
        <v/>
      </c>
      <c r="I353" s="294" t="str">
        <f ca="1">IF(ISERROR($S353),"",OFFSET('Smelter Reference List'!$H$4,$S353-4,0))</f>
        <v/>
      </c>
      <c r="J353" s="294" t="str">
        <f ca="1">IF(ISERROR($S353),"",OFFSET('Smelter Reference List'!$I$4,$S353-4,0))</f>
        <v/>
      </c>
      <c r="K353" s="295"/>
      <c r="L353" s="295"/>
      <c r="M353" s="295"/>
      <c r="N353" s="295"/>
      <c r="O353" s="295"/>
      <c r="P353" s="295"/>
      <c r="Q353" s="296"/>
      <c r="R353" s="227"/>
      <c r="S353" s="228" t="e">
        <f>IF(C353="",NA(),MATCH($B353&amp;$C353,'Smelter Reference List'!$J:$J,0))</f>
        <v>#N/A</v>
      </c>
      <c r="T353" s="229"/>
      <c r="U353" s="229">
        <f t="shared" ca="1" si="12"/>
        <v>0</v>
      </c>
      <c r="V353" s="229"/>
      <c r="W353" s="229"/>
      <c r="Y353" s="223" t="str">
        <f t="shared" si="13"/>
        <v/>
      </c>
    </row>
    <row r="354" spans="1:25" s="223" customFormat="1" ht="20.25">
      <c r="A354" s="291"/>
      <c r="B354" s="292" t="str">
        <f>IF(LEN(A354)=0,"",INDEX('Smelter Reference List'!$A:$A,MATCH($A354,'Smelter Reference List'!$E:$E,0)))</f>
        <v/>
      </c>
      <c r="C354" s="298" t="str">
        <f>IF(LEN(A354)=0,"",INDEX('Smelter Reference List'!$C:$C,MATCH($A354,'Smelter Reference List'!$E:$E,0)))</f>
        <v/>
      </c>
      <c r="D354" s="292" t="str">
        <f ca="1">IF(ISERROR($S354),"",OFFSET('Smelter Reference List'!$C$4,$S354-4,0)&amp;"")</f>
        <v/>
      </c>
      <c r="E354" s="292" t="str">
        <f ca="1">IF(ISERROR($S354),"",OFFSET('Smelter Reference List'!$D$4,$S354-4,0)&amp;"")</f>
        <v/>
      </c>
      <c r="F354" s="292" t="str">
        <f ca="1">IF(ISERROR($S354),"",OFFSET('Smelter Reference List'!$E$4,$S354-4,0))</f>
        <v/>
      </c>
      <c r="G354" s="292" t="str">
        <f ca="1">IF(C354=$U$4,"Enter smelter details", IF(ISERROR($S354),"",OFFSET('Smelter Reference List'!$F$4,$S354-4,0)))</f>
        <v/>
      </c>
      <c r="H354" s="293" t="str">
        <f ca="1">IF(ISERROR($S354),"",OFFSET('Smelter Reference List'!$G$4,$S354-4,0))</f>
        <v/>
      </c>
      <c r="I354" s="294" t="str">
        <f ca="1">IF(ISERROR($S354),"",OFFSET('Smelter Reference List'!$H$4,$S354-4,0))</f>
        <v/>
      </c>
      <c r="J354" s="294" t="str">
        <f ca="1">IF(ISERROR($S354),"",OFFSET('Smelter Reference List'!$I$4,$S354-4,0))</f>
        <v/>
      </c>
      <c r="K354" s="295"/>
      <c r="L354" s="295"/>
      <c r="M354" s="295"/>
      <c r="N354" s="295"/>
      <c r="O354" s="295"/>
      <c r="P354" s="295"/>
      <c r="Q354" s="296"/>
      <c r="R354" s="227"/>
      <c r="S354" s="228" t="e">
        <f>IF(C354="",NA(),MATCH($B354&amp;$C354,'Smelter Reference List'!$J:$J,0))</f>
        <v>#N/A</v>
      </c>
      <c r="T354" s="229"/>
      <c r="U354" s="229">
        <f t="shared" ca="1" si="12"/>
        <v>0</v>
      </c>
      <c r="V354" s="229"/>
      <c r="W354" s="229"/>
      <c r="Y354" s="223" t="str">
        <f t="shared" si="13"/>
        <v/>
      </c>
    </row>
    <row r="355" spans="1:25" s="223" customFormat="1" ht="20.25">
      <c r="A355" s="291"/>
      <c r="B355" s="292" t="str">
        <f>IF(LEN(A355)=0,"",INDEX('Smelter Reference List'!$A:$A,MATCH($A355,'Smelter Reference List'!$E:$E,0)))</f>
        <v/>
      </c>
      <c r="C355" s="298" t="str">
        <f>IF(LEN(A355)=0,"",INDEX('Smelter Reference List'!$C:$C,MATCH($A355,'Smelter Reference List'!$E:$E,0)))</f>
        <v/>
      </c>
      <c r="D355" s="292" t="str">
        <f ca="1">IF(ISERROR($S355),"",OFFSET('Smelter Reference List'!$C$4,$S355-4,0)&amp;"")</f>
        <v/>
      </c>
      <c r="E355" s="292" t="str">
        <f ca="1">IF(ISERROR($S355),"",OFFSET('Smelter Reference List'!$D$4,$S355-4,0)&amp;"")</f>
        <v/>
      </c>
      <c r="F355" s="292" t="str">
        <f ca="1">IF(ISERROR($S355),"",OFFSET('Smelter Reference List'!$E$4,$S355-4,0))</f>
        <v/>
      </c>
      <c r="G355" s="292" t="str">
        <f ca="1">IF(C355=$U$4,"Enter smelter details", IF(ISERROR($S355),"",OFFSET('Smelter Reference List'!$F$4,$S355-4,0)))</f>
        <v/>
      </c>
      <c r="H355" s="293" t="str">
        <f ca="1">IF(ISERROR($S355),"",OFFSET('Smelter Reference List'!$G$4,$S355-4,0))</f>
        <v/>
      </c>
      <c r="I355" s="294" t="str">
        <f ca="1">IF(ISERROR($S355),"",OFFSET('Smelter Reference List'!$H$4,$S355-4,0))</f>
        <v/>
      </c>
      <c r="J355" s="294" t="str">
        <f ca="1">IF(ISERROR($S355),"",OFFSET('Smelter Reference List'!$I$4,$S355-4,0))</f>
        <v/>
      </c>
      <c r="K355" s="295"/>
      <c r="L355" s="295"/>
      <c r="M355" s="295"/>
      <c r="N355" s="295"/>
      <c r="O355" s="295"/>
      <c r="P355" s="295"/>
      <c r="Q355" s="296"/>
      <c r="R355" s="227"/>
      <c r="S355" s="228" t="e">
        <f>IF(C355="",NA(),MATCH($B355&amp;$C355,'Smelter Reference List'!$J:$J,0))</f>
        <v>#N/A</v>
      </c>
      <c r="T355" s="229"/>
      <c r="U355" s="229">
        <f t="shared" ca="1" si="12"/>
        <v>0</v>
      </c>
      <c r="V355" s="229"/>
      <c r="W355" s="229"/>
      <c r="Y355" s="223" t="str">
        <f t="shared" si="13"/>
        <v/>
      </c>
    </row>
    <row r="356" spans="1:25" s="223" customFormat="1" ht="20.25">
      <c r="A356" s="291"/>
      <c r="B356" s="292" t="str">
        <f>IF(LEN(A356)=0,"",INDEX('Smelter Reference List'!$A:$A,MATCH($A356,'Smelter Reference List'!$E:$E,0)))</f>
        <v/>
      </c>
      <c r="C356" s="298" t="str">
        <f>IF(LEN(A356)=0,"",INDEX('Smelter Reference List'!$C:$C,MATCH($A356,'Smelter Reference List'!$E:$E,0)))</f>
        <v/>
      </c>
      <c r="D356" s="292" t="str">
        <f ca="1">IF(ISERROR($S356),"",OFFSET('Smelter Reference List'!$C$4,$S356-4,0)&amp;"")</f>
        <v/>
      </c>
      <c r="E356" s="292" t="str">
        <f ca="1">IF(ISERROR($S356),"",OFFSET('Smelter Reference List'!$D$4,$S356-4,0)&amp;"")</f>
        <v/>
      </c>
      <c r="F356" s="292" t="str">
        <f ca="1">IF(ISERROR($S356),"",OFFSET('Smelter Reference List'!$E$4,$S356-4,0))</f>
        <v/>
      </c>
      <c r="G356" s="292" t="str">
        <f ca="1">IF(C356=$U$4,"Enter smelter details", IF(ISERROR($S356),"",OFFSET('Smelter Reference List'!$F$4,$S356-4,0)))</f>
        <v/>
      </c>
      <c r="H356" s="293" t="str">
        <f ca="1">IF(ISERROR($S356),"",OFFSET('Smelter Reference List'!$G$4,$S356-4,0))</f>
        <v/>
      </c>
      <c r="I356" s="294" t="str">
        <f ca="1">IF(ISERROR($S356),"",OFFSET('Smelter Reference List'!$H$4,$S356-4,0))</f>
        <v/>
      </c>
      <c r="J356" s="294" t="str">
        <f ca="1">IF(ISERROR($S356),"",OFFSET('Smelter Reference List'!$I$4,$S356-4,0))</f>
        <v/>
      </c>
      <c r="K356" s="295"/>
      <c r="L356" s="295"/>
      <c r="M356" s="295"/>
      <c r="N356" s="295"/>
      <c r="O356" s="295"/>
      <c r="P356" s="295"/>
      <c r="Q356" s="296"/>
      <c r="R356" s="227"/>
      <c r="S356" s="228" t="e">
        <f>IF(C356="",NA(),MATCH($B356&amp;$C356,'Smelter Reference List'!$J:$J,0))</f>
        <v>#N/A</v>
      </c>
      <c r="T356" s="229"/>
      <c r="U356" s="229">
        <f t="shared" ca="1" si="12"/>
        <v>0</v>
      </c>
      <c r="V356" s="229"/>
      <c r="W356" s="229"/>
      <c r="Y356" s="223" t="str">
        <f t="shared" si="13"/>
        <v/>
      </c>
    </row>
    <row r="357" spans="1:25" s="223" customFormat="1" ht="20.25">
      <c r="A357" s="291"/>
      <c r="B357" s="292" t="str">
        <f>IF(LEN(A357)=0,"",INDEX('Smelter Reference List'!$A:$A,MATCH($A357,'Smelter Reference List'!$E:$E,0)))</f>
        <v/>
      </c>
      <c r="C357" s="298" t="str">
        <f>IF(LEN(A357)=0,"",INDEX('Smelter Reference List'!$C:$C,MATCH($A357,'Smelter Reference List'!$E:$E,0)))</f>
        <v/>
      </c>
      <c r="D357" s="292" t="str">
        <f ca="1">IF(ISERROR($S357),"",OFFSET('Smelter Reference List'!$C$4,$S357-4,0)&amp;"")</f>
        <v/>
      </c>
      <c r="E357" s="292" t="str">
        <f ca="1">IF(ISERROR($S357),"",OFFSET('Smelter Reference List'!$D$4,$S357-4,0)&amp;"")</f>
        <v/>
      </c>
      <c r="F357" s="292" t="str">
        <f ca="1">IF(ISERROR($S357),"",OFFSET('Smelter Reference List'!$E$4,$S357-4,0))</f>
        <v/>
      </c>
      <c r="G357" s="292" t="str">
        <f ca="1">IF(C357=$U$4,"Enter smelter details", IF(ISERROR($S357),"",OFFSET('Smelter Reference List'!$F$4,$S357-4,0)))</f>
        <v/>
      </c>
      <c r="H357" s="293" t="str">
        <f ca="1">IF(ISERROR($S357),"",OFFSET('Smelter Reference List'!$G$4,$S357-4,0))</f>
        <v/>
      </c>
      <c r="I357" s="294" t="str">
        <f ca="1">IF(ISERROR($S357),"",OFFSET('Smelter Reference List'!$H$4,$S357-4,0))</f>
        <v/>
      </c>
      <c r="J357" s="294" t="str">
        <f ca="1">IF(ISERROR($S357),"",OFFSET('Smelter Reference List'!$I$4,$S357-4,0))</f>
        <v/>
      </c>
      <c r="K357" s="295"/>
      <c r="L357" s="295"/>
      <c r="M357" s="295"/>
      <c r="N357" s="295"/>
      <c r="O357" s="295"/>
      <c r="P357" s="295"/>
      <c r="Q357" s="296"/>
      <c r="R357" s="227"/>
      <c r="S357" s="228" t="e">
        <f>IF(C357="",NA(),MATCH($B357&amp;$C357,'Smelter Reference List'!$J:$J,0))</f>
        <v>#N/A</v>
      </c>
      <c r="T357" s="229"/>
      <c r="U357" s="229">
        <f t="shared" ca="1" si="12"/>
        <v>0</v>
      </c>
      <c r="V357" s="229"/>
      <c r="W357" s="229"/>
      <c r="Y357" s="223" t="str">
        <f t="shared" si="13"/>
        <v/>
      </c>
    </row>
    <row r="358" spans="1:25" s="223" customFormat="1" ht="20.25">
      <c r="A358" s="291"/>
      <c r="B358" s="292" t="str">
        <f>IF(LEN(A358)=0,"",INDEX('Smelter Reference List'!$A:$A,MATCH($A358,'Smelter Reference List'!$E:$E,0)))</f>
        <v/>
      </c>
      <c r="C358" s="298" t="str">
        <f>IF(LEN(A358)=0,"",INDEX('Smelter Reference List'!$C:$C,MATCH($A358,'Smelter Reference List'!$E:$E,0)))</f>
        <v/>
      </c>
      <c r="D358" s="292" t="str">
        <f ca="1">IF(ISERROR($S358),"",OFFSET('Smelter Reference List'!$C$4,$S358-4,0)&amp;"")</f>
        <v/>
      </c>
      <c r="E358" s="292" t="str">
        <f ca="1">IF(ISERROR($S358),"",OFFSET('Smelter Reference List'!$D$4,$S358-4,0)&amp;"")</f>
        <v/>
      </c>
      <c r="F358" s="292" t="str">
        <f ca="1">IF(ISERROR($S358),"",OFFSET('Smelter Reference List'!$E$4,$S358-4,0))</f>
        <v/>
      </c>
      <c r="G358" s="292" t="str">
        <f ca="1">IF(C358=$U$4,"Enter smelter details", IF(ISERROR($S358),"",OFFSET('Smelter Reference List'!$F$4,$S358-4,0)))</f>
        <v/>
      </c>
      <c r="H358" s="293" t="str">
        <f ca="1">IF(ISERROR($S358),"",OFFSET('Smelter Reference List'!$G$4,$S358-4,0))</f>
        <v/>
      </c>
      <c r="I358" s="294" t="str">
        <f ca="1">IF(ISERROR($S358),"",OFFSET('Smelter Reference List'!$H$4,$S358-4,0))</f>
        <v/>
      </c>
      <c r="J358" s="294" t="str">
        <f ca="1">IF(ISERROR($S358),"",OFFSET('Smelter Reference List'!$I$4,$S358-4,0))</f>
        <v/>
      </c>
      <c r="K358" s="295"/>
      <c r="L358" s="295"/>
      <c r="M358" s="295"/>
      <c r="N358" s="295"/>
      <c r="O358" s="295"/>
      <c r="P358" s="295"/>
      <c r="Q358" s="296"/>
      <c r="R358" s="227"/>
      <c r="S358" s="228" t="e">
        <f>IF(C358="",NA(),MATCH($B358&amp;$C358,'Smelter Reference List'!$J:$J,0))</f>
        <v>#N/A</v>
      </c>
      <c r="T358" s="229"/>
      <c r="U358" s="229">
        <f t="shared" ca="1" si="12"/>
        <v>0</v>
      </c>
      <c r="V358" s="229"/>
      <c r="W358" s="229"/>
      <c r="Y358" s="223" t="str">
        <f t="shared" si="13"/>
        <v/>
      </c>
    </row>
    <row r="359" spans="1:25" s="223" customFormat="1" ht="20.25">
      <c r="A359" s="291"/>
      <c r="B359" s="292" t="str">
        <f>IF(LEN(A359)=0,"",INDEX('Smelter Reference List'!$A:$A,MATCH($A359,'Smelter Reference List'!$E:$E,0)))</f>
        <v/>
      </c>
      <c r="C359" s="298" t="str">
        <f>IF(LEN(A359)=0,"",INDEX('Smelter Reference List'!$C:$C,MATCH($A359,'Smelter Reference List'!$E:$E,0)))</f>
        <v/>
      </c>
      <c r="D359" s="292" t="str">
        <f ca="1">IF(ISERROR($S359),"",OFFSET('Smelter Reference List'!$C$4,$S359-4,0)&amp;"")</f>
        <v/>
      </c>
      <c r="E359" s="292" t="str">
        <f ca="1">IF(ISERROR($S359),"",OFFSET('Smelter Reference List'!$D$4,$S359-4,0)&amp;"")</f>
        <v/>
      </c>
      <c r="F359" s="292" t="str">
        <f ca="1">IF(ISERROR($S359),"",OFFSET('Smelter Reference List'!$E$4,$S359-4,0))</f>
        <v/>
      </c>
      <c r="G359" s="292" t="str">
        <f ca="1">IF(C359=$U$4,"Enter smelter details", IF(ISERROR($S359),"",OFFSET('Smelter Reference List'!$F$4,$S359-4,0)))</f>
        <v/>
      </c>
      <c r="H359" s="293" t="str">
        <f ca="1">IF(ISERROR($S359),"",OFFSET('Smelter Reference List'!$G$4,$S359-4,0))</f>
        <v/>
      </c>
      <c r="I359" s="294" t="str">
        <f ca="1">IF(ISERROR($S359),"",OFFSET('Smelter Reference List'!$H$4,$S359-4,0))</f>
        <v/>
      </c>
      <c r="J359" s="294" t="str">
        <f ca="1">IF(ISERROR($S359),"",OFFSET('Smelter Reference List'!$I$4,$S359-4,0))</f>
        <v/>
      </c>
      <c r="K359" s="295"/>
      <c r="L359" s="295"/>
      <c r="M359" s="295"/>
      <c r="N359" s="295"/>
      <c r="O359" s="295"/>
      <c r="P359" s="295"/>
      <c r="Q359" s="296"/>
      <c r="R359" s="227"/>
      <c r="S359" s="228" t="e">
        <f>IF(C359="",NA(),MATCH($B359&amp;$C359,'Smelter Reference List'!$J:$J,0))</f>
        <v>#N/A</v>
      </c>
      <c r="T359" s="229"/>
      <c r="U359" s="229">
        <f t="shared" ca="1" si="12"/>
        <v>0</v>
      </c>
      <c r="V359" s="229"/>
      <c r="W359" s="229"/>
      <c r="Y359" s="223" t="str">
        <f t="shared" si="13"/>
        <v/>
      </c>
    </row>
    <row r="360" spans="1:25" s="223" customFormat="1" ht="20.25">
      <c r="A360" s="291"/>
      <c r="B360" s="292" t="str">
        <f>IF(LEN(A360)=0,"",INDEX('Smelter Reference List'!$A:$A,MATCH($A360,'Smelter Reference List'!$E:$E,0)))</f>
        <v/>
      </c>
      <c r="C360" s="298" t="str">
        <f>IF(LEN(A360)=0,"",INDEX('Smelter Reference List'!$C:$C,MATCH($A360,'Smelter Reference List'!$E:$E,0)))</f>
        <v/>
      </c>
      <c r="D360" s="292" t="str">
        <f ca="1">IF(ISERROR($S360),"",OFFSET('Smelter Reference List'!$C$4,$S360-4,0)&amp;"")</f>
        <v/>
      </c>
      <c r="E360" s="292" t="str">
        <f ca="1">IF(ISERROR($S360),"",OFFSET('Smelter Reference List'!$D$4,$S360-4,0)&amp;"")</f>
        <v/>
      </c>
      <c r="F360" s="292" t="str">
        <f ca="1">IF(ISERROR($S360),"",OFFSET('Smelter Reference List'!$E$4,$S360-4,0))</f>
        <v/>
      </c>
      <c r="G360" s="292" t="str">
        <f ca="1">IF(C360=$U$4,"Enter smelter details", IF(ISERROR($S360),"",OFFSET('Smelter Reference List'!$F$4,$S360-4,0)))</f>
        <v/>
      </c>
      <c r="H360" s="293" t="str">
        <f ca="1">IF(ISERROR($S360),"",OFFSET('Smelter Reference List'!$G$4,$S360-4,0))</f>
        <v/>
      </c>
      <c r="I360" s="294" t="str">
        <f ca="1">IF(ISERROR($S360),"",OFFSET('Smelter Reference List'!$H$4,$S360-4,0))</f>
        <v/>
      </c>
      <c r="J360" s="294" t="str">
        <f ca="1">IF(ISERROR($S360),"",OFFSET('Smelter Reference List'!$I$4,$S360-4,0))</f>
        <v/>
      </c>
      <c r="K360" s="295"/>
      <c r="L360" s="295"/>
      <c r="M360" s="295"/>
      <c r="N360" s="295"/>
      <c r="O360" s="295"/>
      <c r="P360" s="295"/>
      <c r="Q360" s="296"/>
      <c r="R360" s="227"/>
      <c r="S360" s="228" t="e">
        <f>IF(C360="",NA(),MATCH($B360&amp;$C360,'Smelter Reference List'!$J:$J,0))</f>
        <v>#N/A</v>
      </c>
      <c r="T360" s="229"/>
      <c r="U360" s="229">
        <f t="shared" ca="1" si="12"/>
        <v>0</v>
      </c>
      <c r="V360" s="229"/>
      <c r="W360" s="229"/>
      <c r="Y360" s="223" t="str">
        <f t="shared" si="13"/>
        <v/>
      </c>
    </row>
    <row r="361" spans="1:25" s="223" customFormat="1" ht="20.25">
      <c r="A361" s="291"/>
      <c r="B361" s="292" t="str">
        <f>IF(LEN(A361)=0,"",INDEX('Smelter Reference List'!$A:$A,MATCH($A361,'Smelter Reference List'!$E:$E,0)))</f>
        <v/>
      </c>
      <c r="C361" s="298" t="str">
        <f>IF(LEN(A361)=0,"",INDEX('Smelter Reference List'!$C:$C,MATCH($A361,'Smelter Reference List'!$E:$E,0)))</f>
        <v/>
      </c>
      <c r="D361" s="292" t="str">
        <f ca="1">IF(ISERROR($S361),"",OFFSET('Smelter Reference List'!$C$4,$S361-4,0)&amp;"")</f>
        <v/>
      </c>
      <c r="E361" s="292" t="str">
        <f ca="1">IF(ISERROR($S361),"",OFFSET('Smelter Reference List'!$D$4,$S361-4,0)&amp;"")</f>
        <v/>
      </c>
      <c r="F361" s="292" t="str">
        <f ca="1">IF(ISERROR($S361),"",OFFSET('Smelter Reference List'!$E$4,$S361-4,0))</f>
        <v/>
      </c>
      <c r="G361" s="292" t="str">
        <f ca="1">IF(C361=$U$4,"Enter smelter details", IF(ISERROR($S361),"",OFFSET('Smelter Reference List'!$F$4,$S361-4,0)))</f>
        <v/>
      </c>
      <c r="H361" s="293" t="str">
        <f ca="1">IF(ISERROR($S361),"",OFFSET('Smelter Reference List'!$G$4,$S361-4,0))</f>
        <v/>
      </c>
      <c r="I361" s="294" t="str">
        <f ca="1">IF(ISERROR($S361),"",OFFSET('Smelter Reference List'!$H$4,$S361-4,0))</f>
        <v/>
      </c>
      <c r="J361" s="294" t="str">
        <f ca="1">IF(ISERROR($S361),"",OFFSET('Smelter Reference List'!$I$4,$S361-4,0))</f>
        <v/>
      </c>
      <c r="K361" s="295"/>
      <c r="L361" s="295"/>
      <c r="M361" s="295"/>
      <c r="N361" s="295"/>
      <c r="O361" s="295"/>
      <c r="P361" s="295"/>
      <c r="Q361" s="296"/>
      <c r="R361" s="227"/>
      <c r="S361" s="228" t="e">
        <f>IF(C361="",NA(),MATCH($B361&amp;$C361,'Smelter Reference List'!$J:$J,0))</f>
        <v>#N/A</v>
      </c>
      <c r="T361" s="229"/>
      <c r="U361" s="229">
        <f t="shared" ca="1" si="12"/>
        <v>0</v>
      </c>
      <c r="V361" s="229"/>
      <c r="W361" s="229"/>
      <c r="Y361" s="223" t="str">
        <f t="shared" si="13"/>
        <v/>
      </c>
    </row>
    <row r="362" spans="1:25" s="223" customFormat="1" ht="20.25">
      <c r="A362" s="291"/>
      <c r="B362" s="292" t="str">
        <f>IF(LEN(A362)=0,"",INDEX('Smelter Reference List'!$A:$A,MATCH($A362,'Smelter Reference List'!$E:$E,0)))</f>
        <v/>
      </c>
      <c r="C362" s="298" t="str">
        <f>IF(LEN(A362)=0,"",INDEX('Smelter Reference List'!$C:$C,MATCH($A362,'Smelter Reference List'!$E:$E,0)))</f>
        <v/>
      </c>
      <c r="D362" s="292" t="str">
        <f ca="1">IF(ISERROR($S362),"",OFFSET('Smelter Reference List'!$C$4,$S362-4,0)&amp;"")</f>
        <v/>
      </c>
      <c r="E362" s="292" t="str">
        <f ca="1">IF(ISERROR($S362),"",OFFSET('Smelter Reference List'!$D$4,$S362-4,0)&amp;"")</f>
        <v/>
      </c>
      <c r="F362" s="292" t="str">
        <f ca="1">IF(ISERROR($S362),"",OFFSET('Smelter Reference List'!$E$4,$S362-4,0))</f>
        <v/>
      </c>
      <c r="G362" s="292" t="str">
        <f ca="1">IF(C362=$U$4,"Enter smelter details", IF(ISERROR($S362),"",OFFSET('Smelter Reference List'!$F$4,$S362-4,0)))</f>
        <v/>
      </c>
      <c r="H362" s="293" t="str">
        <f ca="1">IF(ISERROR($S362),"",OFFSET('Smelter Reference List'!$G$4,$S362-4,0))</f>
        <v/>
      </c>
      <c r="I362" s="294" t="str">
        <f ca="1">IF(ISERROR($S362),"",OFFSET('Smelter Reference List'!$H$4,$S362-4,0))</f>
        <v/>
      </c>
      <c r="J362" s="294" t="str">
        <f ca="1">IF(ISERROR($S362),"",OFFSET('Smelter Reference List'!$I$4,$S362-4,0))</f>
        <v/>
      </c>
      <c r="K362" s="295"/>
      <c r="L362" s="295"/>
      <c r="M362" s="295"/>
      <c r="N362" s="295"/>
      <c r="O362" s="295"/>
      <c r="P362" s="295"/>
      <c r="Q362" s="296"/>
      <c r="R362" s="227"/>
      <c r="S362" s="228" t="e">
        <f>IF(C362="",NA(),MATCH($B362&amp;$C362,'Smelter Reference List'!$J:$J,0))</f>
        <v>#N/A</v>
      </c>
      <c r="T362" s="229"/>
      <c r="U362" s="229">
        <f t="shared" ca="1" si="12"/>
        <v>0</v>
      </c>
      <c r="V362" s="229"/>
      <c r="W362" s="229"/>
      <c r="Y362" s="223" t="str">
        <f t="shared" si="13"/>
        <v/>
      </c>
    </row>
    <row r="363" spans="1:25" s="223" customFormat="1" ht="20.25">
      <c r="A363" s="291"/>
      <c r="B363" s="292" t="str">
        <f>IF(LEN(A363)=0,"",INDEX('Smelter Reference List'!$A:$A,MATCH($A363,'Smelter Reference List'!$E:$E,0)))</f>
        <v/>
      </c>
      <c r="C363" s="298" t="str">
        <f>IF(LEN(A363)=0,"",INDEX('Smelter Reference List'!$C:$C,MATCH($A363,'Smelter Reference List'!$E:$E,0)))</f>
        <v/>
      </c>
      <c r="D363" s="292" t="str">
        <f ca="1">IF(ISERROR($S363),"",OFFSET('Smelter Reference List'!$C$4,$S363-4,0)&amp;"")</f>
        <v/>
      </c>
      <c r="E363" s="292" t="str">
        <f ca="1">IF(ISERROR($S363),"",OFFSET('Smelter Reference List'!$D$4,$S363-4,0)&amp;"")</f>
        <v/>
      </c>
      <c r="F363" s="292" t="str">
        <f ca="1">IF(ISERROR($S363),"",OFFSET('Smelter Reference List'!$E$4,$S363-4,0))</f>
        <v/>
      </c>
      <c r="G363" s="292" t="str">
        <f ca="1">IF(C363=$U$4,"Enter smelter details", IF(ISERROR($S363),"",OFFSET('Smelter Reference List'!$F$4,$S363-4,0)))</f>
        <v/>
      </c>
      <c r="H363" s="293" t="str">
        <f ca="1">IF(ISERROR($S363),"",OFFSET('Smelter Reference List'!$G$4,$S363-4,0))</f>
        <v/>
      </c>
      <c r="I363" s="294" t="str">
        <f ca="1">IF(ISERROR($S363),"",OFFSET('Smelter Reference List'!$H$4,$S363-4,0))</f>
        <v/>
      </c>
      <c r="J363" s="294" t="str">
        <f ca="1">IF(ISERROR($S363),"",OFFSET('Smelter Reference List'!$I$4,$S363-4,0))</f>
        <v/>
      </c>
      <c r="K363" s="295"/>
      <c r="L363" s="295"/>
      <c r="M363" s="295"/>
      <c r="N363" s="295"/>
      <c r="O363" s="295"/>
      <c r="P363" s="295"/>
      <c r="Q363" s="296"/>
      <c r="R363" s="227"/>
      <c r="S363" s="228" t="e">
        <f>IF(C363="",NA(),MATCH($B363&amp;$C363,'Smelter Reference List'!$J:$J,0))</f>
        <v>#N/A</v>
      </c>
      <c r="T363" s="229"/>
      <c r="U363" s="229">
        <f t="shared" ca="1" si="12"/>
        <v>0</v>
      </c>
      <c r="V363" s="229"/>
      <c r="W363" s="229"/>
      <c r="Y363" s="223" t="str">
        <f t="shared" si="13"/>
        <v/>
      </c>
    </row>
    <row r="364" spans="1:25" s="223" customFormat="1" ht="20.25">
      <c r="A364" s="291"/>
      <c r="B364" s="292" t="str">
        <f>IF(LEN(A364)=0,"",INDEX('Smelter Reference List'!$A:$A,MATCH($A364,'Smelter Reference List'!$E:$E,0)))</f>
        <v/>
      </c>
      <c r="C364" s="298" t="str">
        <f>IF(LEN(A364)=0,"",INDEX('Smelter Reference List'!$C:$C,MATCH($A364,'Smelter Reference List'!$E:$E,0)))</f>
        <v/>
      </c>
      <c r="D364" s="292" t="str">
        <f ca="1">IF(ISERROR($S364),"",OFFSET('Smelter Reference List'!$C$4,$S364-4,0)&amp;"")</f>
        <v/>
      </c>
      <c r="E364" s="292" t="str">
        <f ca="1">IF(ISERROR($S364),"",OFFSET('Smelter Reference List'!$D$4,$S364-4,0)&amp;"")</f>
        <v/>
      </c>
      <c r="F364" s="292" t="str">
        <f ca="1">IF(ISERROR($S364),"",OFFSET('Smelter Reference List'!$E$4,$S364-4,0))</f>
        <v/>
      </c>
      <c r="G364" s="292" t="str">
        <f ca="1">IF(C364=$U$4,"Enter smelter details", IF(ISERROR($S364),"",OFFSET('Smelter Reference List'!$F$4,$S364-4,0)))</f>
        <v/>
      </c>
      <c r="H364" s="293" t="str">
        <f ca="1">IF(ISERROR($S364),"",OFFSET('Smelter Reference List'!$G$4,$S364-4,0))</f>
        <v/>
      </c>
      <c r="I364" s="294" t="str">
        <f ca="1">IF(ISERROR($S364),"",OFFSET('Smelter Reference List'!$H$4,$S364-4,0))</f>
        <v/>
      </c>
      <c r="J364" s="294" t="str">
        <f ca="1">IF(ISERROR($S364),"",OFFSET('Smelter Reference List'!$I$4,$S364-4,0))</f>
        <v/>
      </c>
      <c r="K364" s="295"/>
      <c r="L364" s="295"/>
      <c r="M364" s="295"/>
      <c r="N364" s="295"/>
      <c r="O364" s="295"/>
      <c r="P364" s="295"/>
      <c r="Q364" s="296"/>
      <c r="R364" s="227"/>
      <c r="S364" s="228" t="e">
        <f>IF(C364="",NA(),MATCH($B364&amp;$C364,'Smelter Reference List'!$J:$J,0))</f>
        <v>#N/A</v>
      </c>
      <c r="T364" s="229"/>
      <c r="U364" s="229">
        <f t="shared" ca="1" si="12"/>
        <v>0</v>
      </c>
      <c r="V364" s="229"/>
      <c r="W364" s="229"/>
      <c r="Y364" s="223" t="str">
        <f t="shared" si="13"/>
        <v/>
      </c>
    </row>
    <row r="365" spans="1:25" s="223" customFormat="1" ht="20.25">
      <c r="A365" s="291"/>
      <c r="B365" s="292" t="str">
        <f>IF(LEN(A365)=0,"",INDEX('Smelter Reference List'!$A:$A,MATCH($A365,'Smelter Reference List'!$E:$E,0)))</f>
        <v/>
      </c>
      <c r="C365" s="298" t="str">
        <f>IF(LEN(A365)=0,"",INDEX('Smelter Reference List'!$C:$C,MATCH($A365,'Smelter Reference List'!$E:$E,0)))</f>
        <v/>
      </c>
      <c r="D365" s="292" t="str">
        <f ca="1">IF(ISERROR($S365),"",OFFSET('Smelter Reference List'!$C$4,$S365-4,0)&amp;"")</f>
        <v/>
      </c>
      <c r="E365" s="292" t="str">
        <f ca="1">IF(ISERROR($S365),"",OFFSET('Smelter Reference List'!$D$4,$S365-4,0)&amp;"")</f>
        <v/>
      </c>
      <c r="F365" s="292" t="str">
        <f ca="1">IF(ISERROR($S365),"",OFFSET('Smelter Reference List'!$E$4,$S365-4,0))</f>
        <v/>
      </c>
      <c r="G365" s="292" t="str">
        <f ca="1">IF(C365=$U$4,"Enter smelter details", IF(ISERROR($S365),"",OFFSET('Smelter Reference List'!$F$4,$S365-4,0)))</f>
        <v/>
      </c>
      <c r="H365" s="293" t="str">
        <f ca="1">IF(ISERROR($S365),"",OFFSET('Smelter Reference List'!$G$4,$S365-4,0))</f>
        <v/>
      </c>
      <c r="I365" s="294" t="str">
        <f ca="1">IF(ISERROR($S365),"",OFFSET('Smelter Reference List'!$H$4,$S365-4,0))</f>
        <v/>
      </c>
      <c r="J365" s="294" t="str">
        <f ca="1">IF(ISERROR($S365),"",OFFSET('Smelter Reference List'!$I$4,$S365-4,0))</f>
        <v/>
      </c>
      <c r="K365" s="295"/>
      <c r="L365" s="295"/>
      <c r="M365" s="295"/>
      <c r="N365" s="295"/>
      <c r="O365" s="295"/>
      <c r="P365" s="295"/>
      <c r="Q365" s="296"/>
      <c r="R365" s="227"/>
      <c r="S365" s="228" t="e">
        <f>IF(C365="",NA(),MATCH($B365&amp;$C365,'Smelter Reference List'!$J:$J,0))</f>
        <v>#N/A</v>
      </c>
      <c r="T365" s="229"/>
      <c r="U365" s="229">
        <f t="shared" ca="1" si="12"/>
        <v>0</v>
      </c>
      <c r="V365" s="229"/>
      <c r="W365" s="229"/>
      <c r="Y365" s="223" t="str">
        <f t="shared" si="13"/>
        <v/>
      </c>
    </row>
    <row r="366" spans="1:25" s="223" customFormat="1" ht="20.25">
      <c r="A366" s="291"/>
      <c r="B366" s="292" t="str">
        <f>IF(LEN(A366)=0,"",INDEX('Smelter Reference List'!$A:$A,MATCH($A366,'Smelter Reference List'!$E:$E,0)))</f>
        <v/>
      </c>
      <c r="C366" s="298" t="str">
        <f>IF(LEN(A366)=0,"",INDEX('Smelter Reference List'!$C:$C,MATCH($A366,'Smelter Reference List'!$E:$E,0)))</f>
        <v/>
      </c>
      <c r="D366" s="292" t="str">
        <f ca="1">IF(ISERROR($S366),"",OFFSET('Smelter Reference List'!$C$4,$S366-4,0)&amp;"")</f>
        <v/>
      </c>
      <c r="E366" s="292" t="str">
        <f ca="1">IF(ISERROR($S366),"",OFFSET('Smelter Reference List'!$D$4,$S366-4,0)&amp;"")</f>
        <v/>
      </c>
      <c r="F366" s="292" t="str">
        <f ca="1">IF(ISERROR($S366),"",OFFSET('Smelter Reference List'!$E$4,$S366-4,0))</f>
        <v/>
      </c>
      <c r="G366" s="292" t="str">
        <f ca="1">IF(C366=$U$4,"Enter smelter details", IF(ISERROR($S366),"",OFFSET('Smelter Reference List'!$F$4,$S366-4,0)))</f>
        <v/>
      </c>
      <c r="H366" s="293" t="str">
        <f ca="1">IF(ISERROR($S366),"",OFFSET('Smelter Reference List'!$G$4,$S366-4,0))</f>
        <v/>
      </c>
      <c r="I366" s="294" t="str">
        <f ca="1">IF(ISERROR($S366),"",OFFSET('Smelter Reference List'!$H$4,$S366-4,0))</f>
        <v/>
      </c>
      <c r="J366" s="294" t="str">
        <f ca="1">IF(ISERROR($S366),"",OFFSET('Smelter Reference List'!$I$4,$S366-4,0))</f>
        <v/>
      </c>
      <c r="K366" s="295"/>
      <c r="L366" s="295"/>
      <c r="M366" s="295"/>
      <c r="N366" s="295"/>
      <c r="O366" s="295"/>
      <c r="P366" s="295"/>
      <c r="Q366" s="296"/>
      <c r="R366" s="227"/>
      <c r="S366" s="228" t="e">
        <f>IF(C366="",NA(),MATCH($B366&amp;$C366,'Smelter Reference List'!$J:$J,0))</f>
        <v>#N/A</v>
      </c>
      <c r="T366" s="229"/>
      <c r="U366" s="229">
        <f t="shared" ca="1" si="12"/>
        <v>0</v>
      </c>
      <c r="V366" s="229"/>
      <c r="W366" s="229"/>
      <c r="Y366" s="223" t="str">
        <f t="shared" si="13"/>
        <v/>
      </c>
    </row>
    <row r="367" spans="1:25" s="223" customFormat="1" ht="20.25">
      <c r="A367" s="291"/>
      <c r="B367" s="292" t="str">
        <f>IF(LEN(A367)=0,"",INDEX('Smelter Reference List'!$A:$A,MATCH($A367,'Smelter Reference List'!$E:$E,0)))</f>
        <v/>
      </c>
      <c r="C367" s="298" t="str">
        <f>IF(LEN(A367)=0,"",INDEX('Smelter Reference List'!$C:$C,MATCH($A367,'Smelter Reference List'!$E:$E,0)))</f>
        <v/>
      </c>
      <c r="D367" s="292" t="str">
        <f ca="1">IF(ISERROR($S367),"",OFFSET('Smelter Reference List'!$C$4,$S367-4,0)&amp;"")</f>
        <v/>
      </c>
      <c r="E367" s="292" t="str">
        <f ca="1">IF(ISERROR($S367),"",OFFSET('Smelter Reference List'!$D$4,$S367-4,0)&amp;"")</f>
        <v/>
      </c>
      <c r="F367" s="292" t="str">
        <f ca="1">IF(ISERROR($S367),"",OFFSET('Smelter Reference List'!$E$4,$S367-4,0))</f>
        <v/>
      </c>
      <c r="G367" s="292" t="str">
        <f ca="1">IF(C367=$U$4,"Enter smelter details", IF(ISERROR($S367),"",OFFSET('Smelter Reference List'!$F$4,$S367-4,0)))</f>
        <v/>
      </c>
      <c r="H367" s="293" t="str">
        <f ca="1">IF(ISERROR($S367),"",OFFSET('Smelter Reference List'!$G$4,$S367-4,0))</f>
        <v/>
      </c>
      <c r="I367" s="294" t="str">
        <f ca="1">IF(ISERROR($S367),"",OFFSET('Smelter Reference List'!$H$4,$S367-4,0))</f>
        <v/>
      </c>
      <c r="J367" s="294" t="str">
        <f ca="1">IF(ISERROR($S367),"",OFFSET('Smelter Reference List'!$I$4,$S367-4,0))</f>
        <v/>
      </c>
      <c r="K367" s="295"/>
      <c r="L367" s="295"/>
      <c r="M367" s="295"/>
      <c r="N367" s="295"/>
      <c r="O367" s="295"/>
      <c r="P367" s="295"/>
      <c r="Q367" s="296"/>
      <c r="R367" s="227"/>
      <c r="S367" s="228" t="e">
        <f>IF(C367="",NA(),MATCH($B367&amp;$C367,'Smelter Reference List'!$J:$J,0))</f>
        <v>#N/A</v>
      </c>
      <c r="T367" s="229"/>
      <c r="U367" s="229">
        <f t="shared" ca="1" si="12"/>
        <v>0</v>
      </c>
      <c r="V367" s="229"/>
      <c r="W367" s="229"/>
      <c r="Y367" s="223" t="str">
        <f t="shared" si="13"/>
        <v/>
      </c>
    </row>
    <row r="368" spans="1:25" s="223" customFormat="1" ht="20.25">
      <c r="A368" s="291"/>
      <c r="B368" s="292" t="str">
        <f>IF(LEN(A368)=0,"",INDEX('Smelter Reference List'!$A:$A,MATCH($A368,'Smelter Reference List'!$E:$E,0)))</f>
        <v/>
      </c>
      <c r="C368" s="298" t="str">
        <f>IF(LEN(A368)=0,"",INDEX('Smelter Reference List'!$C:$C,MATCH($A368,'Smelter Reference List'!$E:$E,0)))</f>
        <v/>
      </c>
      <c r="D368" s="292" t="str">
        <f ca="1">IF(ISERROR($S368),"",OFFSET('Smelter Reference List'!$C$4,$S368-4,0)&amp;"")</f>
        <v/>
      </c>
      <c r="E368" s="292" t="str">
        <f ca="1">IF(ISERROR($S368),"",OFFSET('Smelter Reference List'!$D$4,$S368-4,0)&amp;"")</f>
        <v/>
      </c>
      <c r="F368" s="292" t="str">
        <f ca="1">IF(ISERROR($S368),"",OFFSET('Smelter Reference List'!$E$4,$S368-4,0))</f>
        <v/>
      </c>
      <c r="G368" s="292" t="str">
        <f ca="1">IF(C368=$U$4,"Enter smelter details", IF(ISERROR($S368),"",OFFSET('Smelter Reference List'!$F$4,$S368-4,0)))</f>
        <v/>
      </c>
      <c r="H368" s="293" t="str">
        <f ca="1">IF(ISERROR($S368),"",OFFSET('Smelter Reference List'!$G$4,$S368-4,0))</f>
        <v/>
      </c>
      <c r="I368" s="294" t="str">
        <f ca="1">IF(ISERROR($S368),"",OFFSET('Smelter Reference List'!$H$4,$S368-4,0))</f>
        <v/>
      </c>
      <c r="J368" s="294" t="str">
        <f ca="1">IF(ISERROR($S368),"",OFFSET('Smelter Reference List'!$I$4,$S368-4,0))</f>
        <v/>
      </c>
      <c r="K368" s="295"/>
      <c r="L368" s="295"/>
      <c r="M368" s="295"/>
      <c r="N368" s="295"/>
      <c r="O368" s="295"/>
      <c r="P368" s="295"/>
      <c r="Q368" s="296"/>
      <c r="R368" s="227"/>
      <c r="S368" s="228" t="e">
        <f>IF(C368="",NA(),MATCH($B368&amp;$C368,'Smelter Reference List'!$J:$J,0))</f>
        <v>#N/A</v>
      </c>
      <c r="T368" s="229"/>
      <c r="U368" s="229">
        <f t="shared" ca="1" si="12"/>
        <v>0</v>
      </c>
      <c r="V368" s="229"/>
      <c r="W368" s="229"/>
      <c r="Y368" s="223" t="str">
        <f t="shared" si="13"/>
        <v/>
      </c>
    </row>
    <row r="369" spans="1:25" s="223" customFormat="1" ht="20.25">
      <c r="A369" s="291"/>
      <c r="B369" s="292" t="str">
        <f>IF(LEN(A369)=0,"",INDEX('Smelter Reference List'!$A:$A,MATCH($A369,'Smelter Reference List'!$E:$E,0)))</f>
        <v/>
      </c>
      <c r="C369" s="298" t="str">
        <f>IF(LEN(A369)=0,"",INDEX('Smelter Reference List'!$C:$C,MATCH($A369,'Smelter Reference List'!$E:$E,0)))</f>
        <v/>
      </c>
      <c r="D369" s="292" t="str">
        <f ca="1">IF(ISERROR($S369),"",OFFSET('Smelter Reference List'!$C$4,$S369-4,0)&amp;"")</f>
        <v/>
      </c>
      <c r="E369" s="292" t="str">
        <f ca="1">IF(ISERROR($S369),"",OFFSET('Smelter Reference List'!$D$4,$S369-4,0)&amp;"")</f>
        <v/>
      </c>
      <c r="F369" s="292" t="str">
        <f ca="1">IF(ISERROR($S369),"",OFFSET('Smelter Reference List'!$E$4,$S369-4,0))</f>
        <v/>
      </c>
      <c r="G369" s="292" t="str">
        <f ca="1">IF(C369=$U$4,"Enter smelter details", IF(ISERROR($S369),"",OFFSET('Smelter Reference List'!$F$4,$S369-4,0)))</f>
        <v/>
      </c>
      <c r="H369" s="293" t="str">
        <f ca="1">IF(ISERROR($S369),"",OFFSET('Smelter Reference List'!$G$4,$S369-4,0))</f>
        <v/>
      </c>
      <c r="I369" s="294" t="str">
        <f ca="1">IF(ISERROR($S369),"",OFFSET('Smelter Reference List'!$H$4,$S369-4,0))</f>
        <v/>
      </c>
      <c r="J369" s="294" t="str">
        <f ca="1">IF(ISERROR($S369),"",OFFSET('Smelter Reference List'!$I$4,$S369-4,0))</f>
        <v/>
      </c>
      <c r="K369" s="295"/>
      <c r="L369" s="295"/>
      <c r="M369" s="295"/>
      <c r="N369" s="295"/>
      <c r="O369" s="295"/>
      <c r="P369" s="295"/>
      <c r="Q369" s="296"/>
      <c r="R369" s="227"/>
      <c r="S369" s="228" t="e">
        <f>IF(C369="",NA(),MATCH($B369&amp;$C369,'Smelter Reference List'!$J:$J,0))</f>
        <v>#N/A</v>
      </c>
      <c r="T369" s="229"/>
      <c r="U369" s="229">
        <f t="shared" ca="1" si="12"/>
        <v>0</v>
      </c>
      <c r="V369" s="229"/>
      <c r="W369" s="229"/>
      <c r="Y369" s="223" t="str">
        <f t="shared" si="13"/>
        <v/>
      </c>
    </row>
    <row r="370" spans="1:25" s="223" customFormat="1" ht="20.25">
      <c r="A370" s="291"/>
      <c r="B370" s="292" t="str">
        <f>IF(LEN(A370)=0,"",INDEX('Smelter Reference List'!$A:$A,MATCH($A370,'Smelter Reference List'!$E:$E,0)))</f>
        <v/>
      </c>
      <c r="C370" s="298" t="str">
        <f>IF(LEN(A370)=0,"",INDEX('Smelter Reference List'!$C:$C,MATCH($A370,'Smelter Reference List'!$E:$E,0)))</f>
        <v/>
      </c>
      <c r="D370" s="292" t="str">
        <f ca="1">IF(ISERROR($S370),"",OFFSET('Smelter Reference List'!$C$4,$S370-4,0)&amp;"")</f>
        <v/>
      </c>
      <c r="E370" s="292" t="str">
        <f ca="1">IF(ISERROR($S370),"",OFFSET('Smelter Reference List'!$D$4,$S370-4,0)&amp;"")</f>
        <v/>
      </c>
      <c r="F370" s="292" t="str">
        <f ca="1">IF(ISERROR($S370),"",OFFSET('Smelter Reference List'!$E$4,$S370-4,0))</f>
        <v/>
      </c>
      <c r="G370" s="292" t="str">
        <f ca="1">IF(C370=$U$4,"Enter smelter details", IF(ISERROR($S370),"",OFFSET('Smelter Reference List'!$F$4,$S370-4,0)))</f>
        <v/>
      </c>
      <c r="H370" s="293" t="str">
        <f ca="1">IF(ISERROR($S370),"",OFFSET('Smelter Reference List'!$G$4,$S370-4,0))</f>
        <v/>
      </c>
      <c r="I370" s="294" t="str">
        <f ca="1">IF(ISERROR($S370),"",OFFSET('Smelter Reference List'!$H$4,$S370-4,0))</f>
        <v/>
      </c>
      <c r="J370" s="294" t="str">
        <f ca="1">IF(ISERROR($S370),"",OFFSET('Smelter Reference List'!$I$4,$S370-4,0))</f>
        <v/>
      </c>
      <c r="K370" s="295"/>
      <c r="L370" s="295"/>
      <c r="M370" s="295"/>
      <c r="N370" s="295"/>
      <c r="O370" s="295"/>
      <c r="P370" s="295"/>
      <c r="Q370" s="296"/>
      <c r="R370" s="227"/>
      <c r="S370" s="228" t="e">
        <f>IF(C370="",NA(),MATCH($B370&amp;$C370,'Smelter Reference List'!$J:$J,0))</f>
        <v>#N/A</v>
      </c>
      <c r="T370" s="229"/>
      <c r="U370" s="229">
        <f t="shared" ca="1" si="12"/>
        <v>0</v>
      </c>
      <c r="V370" s="229"/>
      <c r="W370" s="229"/>
      <c r="Y370" s="223" t="str">
        <f t="shared" si="13"/>
        <v/>
      </c>
    </row>
    <row r="371" spans="1:25" s="223" customFormat="1" ht="20.25">
      <c r="A371" s="291"/>
      <c r="B371" s="292" t="str">
        <f>IF(LEN(A371)=0,"",INDEX('Smelter Reference List'!$A:$A,MATCH($A371,'Smelter Reference List'!$E:$E,0)))</f>
        <v/>
      </c>
      <c r="C371" s="298" t="str">
        <f>IF(LEN(A371)=0,"",INDEX('Smelter Reference List'!$C:$C,MATCH($A371,'Smelter Reference List'!$E:$E,0)))</f>
        <v/>
      </c>
      <c r="D371" s="292" t="str">
        <f ca="1">IF(ISERROR($S371),"",OFFSET('Smelter Reference List'!$C$4,$S371-4,0)&amp;"")</f>
        <v/>
      </c>
      <c r="E371" s="292" t="str">
        <f ca="1">IF(ISERROR($S371),"",OFFSET('Smelter Reference List'!$D$4,$S371-4,0)&amp;"")</f>
        <v/>
      </c>
      <c r="F371" s="292" t="str">
        <f ca="1">IF(ISERROR($S371),"",OFFSET('Smelter Reference List'!$E$4,$S371-4,0))</f>
        <v/>
      </c>
      <c r="G371" s="292" t="str">
        <f ca="1">IF(C371=$U$4,"Enter smelter details", IF(ISERROR($S371),"",OFFSET('Smelter Reference List'!$F$4,$S371-4,0)))</f>
        <v/>
      </c>
      <c r="H371" s="293" t="str">
        <f ca="1">IF(ISERROR($S371),"",OFFSET('Smelter Reference List'!$G$4,$S371-4,0))</f>
        <v/>
      </c>
      <c r="I371" s="294" t="str">
        <f ca="1">IF(ISERROR($S371),"",OFFSET('Smelter Reference List'!$H$4,$S371-4,0))</f>
        <v/>
      </c>
      <c r="J371" s="294" t="str">
        <f ca="1">IF(ISERROR($S371),"",OFFSET('Smelter Reference List'!$I$4,$S371-4,0))</f>
        <v/>
      </c>
      <c r="K371" s="295"/>
      <c r="L371" s="295"/>
      <c r="M371" s="295"/>
      <c r="N371" s="295"/>
      <c r="O371" s="295"/>
      <c r="P371" s="295"/>
      <c r="Q371" s="296"/>
      <c r="R371" s="227"/>
      <c r="S371" s="228" t="e">
        <f>IF(C371="",NA(),MATCH($B371&amp;$C371,'Smelter Reference List'!$J:$J,0))</f>
        <v>#N/A</v>
      </c>
      <c r="T371" s="229"/>
      <c r="U371" s="229">
        <f t="shared" ca="1" si="12"/>
        <v>0</v>
      </c>
      <c r="V371" s="229"/>
      <c r="W371" s="229"/>
      <c r="Y371" s="223" t="str">
        <f t="shared" si="13"/>
        <v/>
      </c>
    </row>
    <row r="372" spans="1:25" s="223" customFormat="1" ht="20.25">
      <c r="A372" s="291"/>
      <c r="B372" s="292" t="str">
        <f>IF(LEN(A372)=0,"",INDEX('Smelter Reference List'!$A:$A,MATCH($A372,'Smelter Reference List'!$E:$E,0)))</f>
        <v/>
      </c>
      <c r="C372" s="298" t="str">
        <f>IF(LEN(A372)=0,"",INDEX('Smelter Reference List'!$C:$C,MATCH($A372,'Smelter Reference List'!$E:$E,0)))</f>
        <v/>
      </c>
      <c r="D372" s="292" t="str">
        <f ca="1">IF(ISERROR($S372),"",OFFSET('Smelter Reference List'!$C$4,$S372-4,0)&amp;"")</f>
        <v/>
      </c>
      <c r="E372" s="292" t="str">
        <f ca="1">IF(ISERROR($S372),"",OFFSET('Smelter Reference List'!$D$4,$S372-4,0)&amp;"")</f>
        <v/>
      </c>
      <c r="F372" s="292" t="str">
        <f ca="1">IF(ISERROR($S372),"",OFFSET('Smelter Reference List'!$E$4,$S372-4,0))</f>
        <v/>
      </c>
      <c r="G372" s="292" t="str">
        <f ca="1">IF(C372=$U$4,"Enter smelter details", IF(ISERROR($S372),"",OFFSET('Smelter Reference List'!$F$4,$S372-4,0)))</f>
        <v/>
      </c>
      <c r="H372" s="293" t="str">
        <f ca="1">IF(ISERROR($S372),"",OFFSET('Smelter Reference List'!$G$4,$S372-4,0))</f>
        <v/>
      </c>
      <c r="I372" s="294" t="str">
        <f ca="1">IF(ISERROR($S372),"",OFFSET('Smelter Reference List'!$H$4,$S372-4,0))</f>
        <v/>
      </c>
      <c r="J372" s="294" t="str">
        <f ca="1">IF(ISERROR($S372),"",OFFSET('Smelter Reference List'!$I$4,$S372-4,0))</f>
        <v/>
      </c>
      <c r="K372" s="295"/>
      <c r="L372" s="295"/>
      <c r="M372" s="295"/>
      <c r="N372" s="295"/>
      <c r="O372" s="295"/>
      <c r="P372" s="295"/>
      <c r="Q372" s="296"/>
      <c r="R372" s="227"/>
      <c r="S372" s="228" t="e">
        <f>IF(C372="",NA(),MATCH($B372&amp;$C372,'Smelter Reference List'!$J:$J,0))</f>
        <v>#N/A</v>
      </c>
      <c r="T372" s="229"/>
      <c r="U372" s="229">
        <f t="shared" ca="1" si="12"/>
        <v>0</v>
      </c>
      <c r="V372" s="229"/>
      <c r="W372" s="229"/>
      <c r="Y372" s="223" t="str">
        <f t="shared" si="13"/>
        <v/>
      </c>
    </row>
    <row r="373" spans="1:25" s="223" customFormat="1" ht="20.25">
      <c r="A373" s="291"/>
      <c r="B373" s="292" t="str">
        <f>IF(LEN(A373)=0,"",INDEX('Smelter Reference List'!$A:$A,MATCH($A373,'Smelter Reference List'!$E:$E,0)))</f>
        <v/>
      </c>
      <c r="C373" s="298" t="str">
        <f>IF(LEN(A373)=0,"",INDEX('Smelter Reference List'!$C:$C,MATCH($A373,'Smelter Reference List'!$E:$E,0)))</f>
        <v/>
      </c>
      <c r="D373" s="292" t="str">
        <f ca="1">IF(ISERROR($S373),"",OFFSET('Smelter Reference List'!$C$4,$S373-4,0)&amp;"")</f>
        <v/>
      </c>
      <c r="E373" s="292" t="str">
        <f ca="1">IF(ISERROR($S373),"",OFFSET('Smelter Reference List'!$D$4,$S373-4,0)&amp;"")</f>
        <v/>
      </c>
      <c r="F373" s="292" t="str">
        <f ca="1">IF(ISERROR($S373),"",OFFSET('Smelter Reference List'!$E$4,$S373-4,0))</f>
        <v/>
      </c>
      <c r="G373" s="292" t="str">
        <f ca="1">IF(C373=$U$4,"Enter smelter details", IF(ISERROR($S373),"",OFFSET('Smelter Reference List'!$F$4,$S373-4,0)))</f>
        <v/>
      </c>
      <c r="H373" s="293" t="str">
        <f ca="1">IF(ISERROR($S373),"",OFFSET('Smelter Reference List'!$G$4,$S373-4,0))</f>
        <v/>
      </c>
      <c r="I373" s="294" t="str">
        <f ca="1">IF(ISERROR($S373),"",OFFSET('Smelter Reference List'!$H$4,$S373-4,0))</f>
        <v/>
      </c>
      <c r="J373" s="294" t="str">
        <f ca="1">IF(ISERROR($S373),"",OFFSET('Smelter Reference List'!$I$4,$S373-4,0))</f>
        <v/>
      </c>
      <c r="K373" s="295"/>
      <c r="L373" s="295"/>
      <c r="M373" s="295"/>
      <c r="N373" s="295"/>
      <c r="O373" s="295"/>
      <c r="P373" s="295"/>
      <c r="Q373" s="296"/>
      <c r="R373" s="227"/>
      <c r="S373" s="228" t="e">
        <f>IF(C373="",NA(),MATCH($B373&amp;$C373,'Smelter Reference List'!$J:$J,0))</f>
        <v>#N/A</v>
      </c>
      <c r="T373" s="229"/>
      <c r="U373" s="229">
        <f t="shared" ca="1" si="12"/>
        <v>0</v>
      </c>
      <c r="V373" s="229"/>
      <c r="W373" s="229"/>
      <c r="Y373" s="223" t="str">
        <f t="shared" si="13"/>
        <v/>
      </c>
    </row>
    <row r="374" spans="1:25" s="223" customFormat="1" ht="20.25">
      <c r="A374" s="291"/>
      <c r="B374" s="292" t="str">
        <f>IF(LEN(A374)=0,"",INDEX('Smelter Reference List'!$A:$A,MATCH($A374,'Smelter Reference List'!$E:$E,0)))</f>
        <v/>
      </c>
      <c r="C374" s="298" t="str">
        <f>IF(LEN(A374)=0,"",INDEX('Smelter Reference List'!$C:$C,MATCH($A374,'Smelter Reference List'!$E:$E,0)))</f>
        <v/>
      </c>
      <c r="D374" s="292" t="str">
        <f ca="1">IF(ISERROR($S374),"",OFFSET('Smelter Reference List'!$C$4,$S374-4,0)&amp;"")</f>
        <v/>
      </c>
      <c r="E374" s="292" t="str">
        <f ca="1">IF(ISERROR($S374),"",OFFSET('Smelter Reference List'!$D$4,$S374-4,0)&amp;"")</f>
        <v/>
      </c>
      <c r="F374" s="292" t="str">
        <f ca="1">IF(ISERROR($S374),"",OFFSET('Smelter Reference List'!$E$4,$S374-4,0))</f>
        <v/>
      </c>
      <c r="G374" s="292" t="str">
        <f ca="1">IF(C374=$U$4,"Enter smelter details", IF(ISERROR($S374),"",OFFSET('Smelter Reference List'!$F$4,$S374-4,0)))</f>
        <v/>
      </c>
      <c r="H374" s="293" t="str">
        <f ca="1">IF(ISERROR($S374),"",OFFSET('Smelter Reference List'!$G$4,$S374-4,0))</f>
        <v/>
      </c>
      <c r="I374" s="294" t="str">
        <f ca="1">IF(ISERROR($S374),"",OFFSET('Smelter Reference List'!$H$4,$S374-4,0))</f>
        <v/>
      </c>
      <c r="J374" s="294" t="str">
        <f ca="1">IF(ISERROR($S374),"",OFFSET('Smelter Reference List'!$I$4,$S374-4,0))</f>
        <v/>
      </c>
      <c r="K374" s="295"/>
      <c r="L374" s="295"/>
      <c r="M374" s="295"/>
      <c r="N374" s="295"/>
      <c r="O374" s="295"/>
      <c r="P374" s="295"/>
      <c r="Q374" s="296"/>
      <c r="R374" s="227"/>
      <c r="S374" s="228" t="e">
        <f>IF(C374="",NA(),MATCH($B374&amp;$C374,'Smelter Reference List'!$J:$J,0))</f>
        <v>#N/A</v>
      </c>
      <c r="T374" s="229"/>
      <c r="U374" s="229">
        <f t="shared" ca="1" si="12"/>
        <v>0</v>
      </c>
      <c r="V374" s="229"/>
      <c r="W374" s="229"/>
      <c r="Y374" s="223" t="str">
        <f t="shared" si="13"/>
        <v/>
      </c>
    </row>
    <row r="375" spans="1:25" s="223" customFormat="1" ht="20.25">
      <c r="A375" s="291"/>
      <c r="B375" s="292" t="str">
        <f>IF(LEN(A375)=0,"",INDEX('Smelter Reference List'!$A:$A,MATCH($A375,'Smelter Reference List'!$E:$E,0)))</f>
        <v/>
      </c>
      <c r="C375" s="298" t="str">
        <f>IF(LEN(A375)=0,"",INDEX('Smelter Reference List'!$C:$C,MATCH($A375,'Smelter Reference List'!$E:$E,0)))</f>
        <v/>
      </c>
      <c r="D375" s="292" t="str">
        <f ca="1">IF(ISERROR($S375),"",OFFSET('Smelter Reference List'!$C$4,$S375-4,0)&amp;"")</f>
        <v/>
      </c>
      <c r="E375" s="292" t="str">
        <f ca="1">IF(ISERROR($S375),"",OFFSET('Smelter Reference List'!$D$4,$S375-4,0)&amp;"")</f>
        <v/>
      </c>
      <c r="F375" s="292" t="str">
        <f ca="1">IF(ISERROR($S375),"",OFFSET('Smelter Reference List'!$E$4,$S375-4,0))</f>
        <v/>
      </c>
      <c r="G375" s="292" t="str">
        <f ca="1">IF(C375=$U$4,"Enter smelter details", IF(ISERROR($S375),"",OFFSET('Smelter Reference List'!$F$4,$S375-4,0)))</f>
        <v/>
      </c>
      <c r="H375" s="293" t="str">
        <f ca="1">IF(ISERROR($S375),"",OFFSET('Smelter Reference List'!$G$4,$S375-4,0))</f>
        <v/>
      </c>
      <c r="I375" s="294" t="str">
        <f ca="1">IF(ISERROR($S375),"",OFFSET('Smelter Reference List'!$H$4,$S375-4,0))</f>
        <v/>
      </c>
      <c r="J375" s="294" t="str">
        <f ca="1">IF(ISERROR($S375),"",OFFSET('Smelter Reference List'!$I$4,$S375-4,0))</f>
        <v/>
      </c>
      <c r="K375" s="295"/>
      <c r="L375" s="295"/>
      <c r="M375" s="295"/>
      <c r="N375" s="295"/>
      <c r="O375" s="295"/>
      <c r="P375" s="295"/>
      <c r="Q375" s="296"/>
      <c r="R375" s="227"/>
      <c r="S375" s="228" t="e">
        <f>IF(C375="",NA(),MATCH($B375&amp;$C375,'Smelter Reference List'!$J:$J,0))</f>
        <v>#N/A</v>
      </c>
      <c r="T375" s="229"/>
      <c r="U375" s="229">
        <f t="shared" ca="1" si="12"/>
        <v>0</v>
      </c>
      <c r="V375" s="229"/>
      <c r="W375" s="229"/>
      <c r="Y375" s="223" t="str">
        <f t="shared" si="13"/>
        <v/>
      </c>
    </row>
    <row r="376" spans="1:25" s="223" customFormat="1" ht="20.25">
      <c r="A376" s="291"/>
      <c r="B376" s="292" t="str">
        <f>IF(LEN(A376)=0,"",INDEX('Smelter Reference List'!$A:$A,MATCH($A376,'Smelter Reference List'!$E:$E,0)))</f>
        <v/>
      </c>
      <c r="C376" s="298" t="str">
        <f>IF(LEN(A376)=0,"",INDEX('Smelter Reference List'!$C:$C,MATCH($A376,'Smelter Reference List'!$E:$E,0)))</f>
        <v/>
      </c>
      <c r="D376" s="292" t="str">
        <f ca="1">IF(ISERROR($S376),"",OFFSET('Smelter Reference List'!$C$4,$S376-4,0)&amp;"")</f>
        <v/>
      </c>
      <c r="E376" s="292" t="str">
        <f ca="1">IF(ISERROR($S376),"",OFFSET('Smelter Reference List'!$D$4,$S376-4,0)&amp;"")</f>
        <v/>
      </c>
      <c r="F376" s="292" t="str">
        <f ca="1">IF(ISERROR($S376),"",OFFSET('Smelter Reference List'!$E$4,$S376-4,0))</f>
        <v/>
      </c>
      <c r="G376" s="292" t="str">
        <f ca="1">IF(C376=$U$4,"Enter smelter details", IF(ISERROR($S376),"",OFFSET('Smelter Reference List'!$F$4,$S376-4,0)))</f>
        <v/>
      </c>
      <c r="H376" s="293" t="str">
        <f ca="1">IF(ISERROR($S376),"",OFFSET('Smelter Reference List'!$G$4,$S376-4,0))</f>
        <v/>
      </c>
      <c r="I376" s="294" t="str">
        <f ca="1">IF(ISERROR($S376),"",OFFSET('Smelter Reference List'!$H$4,$S376-4,0))</f>
        <v/>
      </c>
      <c r="J376" s="294" t="str">
        <f ca="1">IF(ISERROR($S376),"",OFFSET('Smelter Reference List'!$I$4,$S376-4,0))</f>
        <v/>
      </c>
      <c r="K376" s="295"/>
      <c r="L376" s="295"/>
      <c r="M376" s="295"/>
      <c r="N376" s="295"/>
      <c r="O376" s="295"/>
      <c r="P376" s="295"/>
      <c r="Q376" s="296"/>
      <c r="R376" s="227"/>
      <c r="S376" s="228" t="e">
        <f>IF(C376="",NA(),MATCH($B376&amp;$C376,'Smelter Reference List'!$J:$J,0))</f>
        <v>#N/A</v>
      </c>
      <c r="T376" s="229"/>
      <c r="U376" s="229">
        <f t="shared" ca="1" si="12"/>
        <v>0</v>
      </c>
      <c r="V376" s="229"/>
      <c r="W376" s="229"/>
      <c r="Y376" s="223" t="str">
        <f t="shared" si="13"/>
        <v/>
      </c>
    </row>
    <row r="377" spans="1:25" s="223" customFormat="1" ht="20.25">
      <c r="A377" s="291"/>
      <c r="B377" s="292" t="str">
        <f>IF(LEN(A377)=0,"",INDEX('Smelter Reference List'!$A:$A,MATCH($A377,'Smelter Reference List'!$E:$E,0)))</f>
        <v/>
      </c>
      <c r="C377" s="298" t="str">
        <f>IF(LEN(A377)=0,"",INDEX('Smelter Reference List'!$C:$C,MATCH($A377,'Smelter Reference List'!$E:$E,0)))</f>
        <v/>
      </c>
      <c r="D377" s="292" t="str">
        <f ca="1">IF(ISERROR($S377),"",OFFSET('Smelter Reference List'!$C$4,$S377-4,0)&amp;"")</f>
        <v/>
      </c>
      <c r="E377" s="292" t="str">
        <f ca="1">IF(ISERROR($S377),"",OFFSET('Smelter Reference List'!$D$4,$S377-4,0)&amp;"")</f>
        <v/>
      </c>
      <c r="F377" s="292" t="str">
        <f ca="1">IF(ISERROR($S377),"",OFFSET('Smelter Reference List'!$E$4,$S377-4,0))</f>
        <v/>
      </c>
      <c r="G377" s="292" t="str">
        <f ca="1">IF(C377=$U$4,"Enter smelter details", IF(ISERROR($S377),"",OFFSET('Smelter Reference List'!$F$4,$S377-4,0)))</f>
        <v/>
      </c>
      <c r="H377" s="293" t="str">
        <f ca="1">IF(ISERROR($S377),"",OFFSET('Smelter Reference List'!$G$4,$S377-4,0))</f>
        <v/>
      </c>
      <c r="I377" s="294" t="str">
        <f ca="1">IF(ISERROR($S377),"",OFFSET('Smelter Reference List'!$H$4,$S377-4,0))</f>
        <v/>
      </c>
      <c r="J377" s="294" t="str">
        <f ca="1">IF(ISERROR($S377),"",OFFSET('Smelter Reference List'!$I$4,$S377-4,0))</f>
        <v/>
      </c>
      <c r="K377" s="295"/>
      <c r="L377" s="295"/>
      <c r="M377" s="295"/>
      <c r="N377" s="295"/>
      <c r="O377" s="295"/>
      <c r="P377" s="295"/>
      <c r="Q377" s="296"/>
      <c r="R377" s="227"/>
      <c r="S377" s="228" t="e">
        <f>IF(C377="",NA(),MATCH($B377&amp;$C377,'Smelter Reference List'!$J:$J,0))</f>
        <v>#N/A</v>
      </c>
      <c r="T377" s="229"/>
      <c r="U377" s="229">
        <f t="shared" ca="1" si="12"/>
        <v>0</v>
      </c>
      <c r="V377" s="229"/>
      <c r="W377" s="229"/>
      <c r="Y377" s="223" t="str">
        <f t="shared" si="13"/>
        <v/>
      </c>
    </row>
    <row r="378" spans="1:25" s="223" customFormat="1" ht="20.25">
      <c r="A378" s="291"/>
      <c r="B378" s="292" t="str">
        <f>IF(LEN(A378)=0,"",INDEX('Smelter Reference List'!$A:$A,MATCH($A378,'Smelter Reference List'!$E:$E,0)))</f>
        <v/>
      </c>
      <c r="C378" s="298" t="str">
        <f>IF(LEN(A378)=0,"",INDEX('Smelter Reference List'!$C:$C,MATCH($A378,'Smelter Reference List'!$E:$E,0)))</f>
        <v/>
      </c>
      <c r="D378" s="292" t="str">
        <f ca="1">IF(ISERROR($S378),"",OFFSET('Smelter Reference List'!$C$4,$S378-4,0)&amp;"")</f>
        <v/>
      </c>
      <c r="E378" s="292" t="str">
        <f ca="1">IF(ISERROR($S378),"",OFFSET('Smelter Reference List'!$D$4,$S378-4,0)&amp;"")</f>
        <v/>
      </c>
      <c r="F378" s="292" t="str">
        <f ca="1">IF(ISERROR($S378),"",OFFSET('Smelter Reference List'!$E$4,$S378-4,0))</f>
        <v/>
      </c>
      <c r="G378" s="292" t="str">
        <f ca="1">IF(C378=$U$4,"Enter smelter details", IF(ISERROR($S378),"",OFFSET('Smelter Reference List'!$F$4,$S378-4,0)))</f>
        <v/>
      </c>
      <c r="H378" s="293" t="str">
        <f ca="1">IF(ISERROR($S378),"",OFFSET('Smelter Reference List'!$G$4,$S378-4,0))</f>
        <v/>
      </c>
      <c r="I378" s="294" t="str">
        <f ca="1">IF(ISERROR($S378),"",OFFSET('Smelter Reference List'!$H$4,$S378-4,0))</f>
        <v/>
      </c>
      <c r="J378" s="294" t="str">
        <f ca="1">IF(ISERROR($S378),"",OFFSET('Smelter Reference List'!$I$4,$S378-4,0))</f>
        <v/>
      </c>
      <c r="K378" s="295"/>
      <c r="L378" s="295"/>
      <c r="M378" s="295"/>
      <c r="N378" s="295"/>
      <c r="O378" s="295"/>
      <c r="P378" s="295"/>
      <c r="Q378" s="296"/>
      <c r="R378" s="227"/>
      <c r="S378" s="228" t="e">
        <f>IF(C378="",NA(),MATCH($B378&amp;$C378,'Smelter Reference List'!$J:$J,0))</f>
        <v>#N/A</v>
      </c>
      <c r="T378" s="229"/>
      <c r="U378" s="229">
        <f t="shared" ca="1" si="12"/>
        <v>0</v>
      </c>
      <c r="V378" s="229"/>
      <c r="W378" s="229"/>
      <c r="Y378" s="223" t="str">
        <f t="shared" si="13"/>
        <v/>
      </c>
    </row>
    <row r="379" spans="1:25" s="223" customFormat="1" ht="20.25">
      <c r="A379" s="291"/>
      <c r="B379" s="292" t="str">
        <f>IF(LEN(A379)=0,"",INDEX('Smelter Reference List'!$A:$A,MATCH($A379,'Smelter Reference List'!$E:$E,0)))</f>
        <v/>
      </c>
      <c r="C379" s="298" t="str">
        <f>IF(LEN(A379)=0,"",INDEX('Smelter Reference List'!$C:$C,MATCH($A379,'Smelter Reference List'!$E:$E,0)))</f>
        <v/>
      </c>
      <c r="D379" s="292" t="str">
        <f ca="1">IF(ISERROR($S379),"",OFFSET('Smelter Reference List'!$C$4,$S379-4,0)&amp;"")</f>
        <v/>
      </c>
      <c r="E379" s="292" t="str">
        <f ca="1">IF(ISERROR($S379),"",OFFSET('Smelter Reference List'!$D$4,$S379-4,0)&amp;"")</f>
        <v/>
      </c>
      <c r="F379" s="292" t="str">
        <f ca="1">IF(ISERROR($S379),"",OFFSET('Smelter Reference List'!$E$4,$S379-4,0))</f>
        <v/>
      </c>
      <c r="G379" s="292" t="str">
        <f ca="1">IF(C379=$U$4,"Enter smelter details", IF(ISERROR($S379),"",OFFSET('Smelter Reference List'!$F$4,$S379-4,0)))</f>
        <v/>
      </c>
      <c r="H379" s="293" t="str">
        <f ca="1">IF(ISERROR($S379),"",OFFSET('Smelter Reference List'!$G$4,$S379-4,0))</f>
        <v/>
      </c>
      <c r="I379" s="294" t="str">
        <f ca="1">IF(ISERROR($S379),"",OFFSET('Smelter Reference List'!$H$4,$S379-4,0))</f>
        <v/>
      </c>
      <c r="J379" s="294" t="str">
        <f ca="1">IF(ISERROR($S379),"",OFFSET('Smelter Reference List'!$I$4,$S379-4,0))</f>
        <v/>
      </c>
      <c r="K379" s="295"/>
      <c r="L379" s="295"/>
      <c r="M379" s="295"/>
      <c r="N379" s="295"/>
      <c r="O379" s="295"/>
      <c r="P379" s="295"/>
      <c r="Q379" s="296"/>
      <c r="R379" s="227"/>
      <c r="S379" s="228" t="e">
        <f>IF(C379="",NA(),MATCH($B379&amp;$C379,'Smelter Reference List'!$J:$J,0))</f>
        <v>#N/A</v>
      </c>
      <c r="T379" s="229"/>
      <c r="U379" s="229">
        <f t="shared" ca="1" si="12"/>
        <v>0</v>
      </c>
      <c r="V379" s="229"/>
      <c r="W379" s="229"/>
      <c r="Y379" s="223" t="str">
        <f t="shared" si="13"/>
        <v/>
      </c>
    </row>
    <row r="380" spans="1:25" s="223" customFormat="1" ht="20.25">
      <c r="A380" s="291"/>
      <c r="B380" s="292" t="str">
        <f>IF(LEN(A380)=0,"",INDEX('Smelter Reference List'!$A:$A,MATCH($A380,'Smelter Reference List'!$E:$E,0)))</f>
        <v/>
      </c>
      <c r="C380" s="298" t="str">
        <f>IF(LEN(A380)=0,"",INDEX('Smelter Reference List'!$C:$C,MATCH($A380,'Smelter Reference List'!$E:$E,0)))</f>
        <v/>
      </c>
      <c r="D380" s="292" t="str">
        <f ca="1">IF(ISERROR($S380),"",OFFSET('Smelter Reference List'!$C$4,$S380-4,0)&amp;"")</f>
        <v/>
      </c>
      <c r="E380" s="292" t="str">
        <f ca="1">IF(ISERROR($S380),"",OFFSET('Smelter Reference List'!$D$4,$S380-4,0)&amp;"")</f>
        <v/>
      </c>
      <c r="F380" s="292" t="str">
        <f ca="1">IF(ISERROR($S380),"",OFFSET('Smelter Reference List'!$E$4,$S380-4,0))</f>
        <v/>
      </c>
      <c r="G380" s="292" t="str">
        <f ca="1">IF(C380=$U$4,"Enter smelter details", IF(ISERROR($S380),"",OFFSET('Smelter Reference List'!$F$4,$S380-4,0)))</f>
        <v/>
      </c>
      <c r="H380" s="293" t="str">
        <f ca="1">IF(ISERROR($S380),"",OFFSET('Smelter Reference List'!$G$4,$S380-4,0))</f>
        <v/>
      </c>
      <c r="I380" s="294" t="str">
        <f ca="1">IF(ISERROR($S380),"",OFFSET('Smelter Reference List'!$H$4,$S380-4,0))</f>
        <v/>
      </c>
      <c r="J380" s="294" t="str">
        <f ca="1">IF(ISERROR($S380),"",OFFSET('Smelter Reference List'!$I$4,$S380-4,0))</f>
        <v/>
      </c>
      <c r="K380" s="295"/>
      <c r="L380" s="295"/>
      <c r="M380" s="295"/>
      <c r="N380" s="295"/>
      <c r="O380" s="295"/>
      <c r="P380" s="295"/>
      <c r="Q380" s="296"/>
      <c r="R380" s="227"/>
      <c r="S380" s="228" t="e">
        <f>IF(C380="",NA(),MATCH($B380&amp;$C380,'Smelter Reference List'!$J:$J,0))</f>
        <v>#N/A</v>
      </c>
      <c r="T380" s="229"/>
      <c r="U380" s="229">
        <f t="shared" ca="1" si="12"/>
        <v>0</v>
      </c>
      <c r="V380" s="229"/>
      <c r="W380" s="229"/>
      <c r="Y380" s="223" t="str">
        <f t="shared" si="13"/>
        <v/>
      </c>
    </row>
    <row r="381" spans="1:25" s="223" customFormat="1" ht="20.25">
      <c r="A381" s="291"/>
      <c r="B381" s="292" t="str">
        <f>IF(LEN(A381)=0,"",INDEX('Smelter Reference List'!$A:$A,MATCH($A381,'Smelter Reference List'!$E:$E,0)))</f>
        <v/>
      </c>
      <c r="C381" s="298" t="str">
        <f>IF(LEN(A381)=0,"",INDEX('Smelter Reference List'!$C:$C,MATCH($A381,'Smelter Reference List'!$E:$E,0)))</f>
        <v/>
      </c>
      <c r="D381" s="292" t="str">
        <f ca="1">IF(ISERROR($S381),"",OFFSET('Smelter Reference List'!$C$4,$S381-4,0)&amp;"")</f>
        <v/>
      </c>
      <c r="E381" s="292" t="str">
        <f ca="1">IF(ISERROR($S381),"",OFFSET('Smelter Reference List'!$D$4,$S381-4,0)&amp;"")</f>
        <v/>
      </c>
      <c r="F381" s="292" t="str">
        <f ca="1">IF(ISERROR($S381),"",OFFSET('Smelter Reference List'!$E$4,$S381-4,0))</f>
        <v/>
      </c>
      <c r="G381" s="292" t="str">
        <f ca="1">IF(C381=$U$4,"Enter smelter details", IF(ISERROR($S381),"",OFFSET('Smelter Reference List'!$F$4,$S381-4,0)))</f>
        <v/>
      </c>
      <c r="H381" s="293" t="str">
        <f ca="1">IF(ISERROR($S381),"",OFFSET('Smelter Reference List'!$G$4,$S381-4,0))</f>
        <v/>
      </c>
      <c r="I381" s="294" t="str">
        <f ca="1">IF(ISERROR($S381),"",OFFSET('Smelter Reference List'!$H$4,$S381-4,0))</f>
        <v/>
      </c>
      <c r="J381" s="294" t="str">
        <f ca="1">IF(ISERROR($S381),"",OFFSET('Smelter Reference List'!$I$4,$S381-4,0))</f>
        <v/>
      </c>
      <c r="K381" s="295"/>
      <c r="L381" s="295"/>
      <c r="M381" s="295"/>
      <c r="N381" s="295"/>
      <c r="O381" s="295"/>
      <c r="P381" s="295"/>
      <c r="Q381" s="296"/>
      <c r="R381" s="227"/>
      <c r="S381" s="228" t="e">
        <f>IF(C381="",NA(),MATCH($B381&amp;$C381,'Smelter Reference List'!$J:$J,0))</f>
        <v>#N/A</v>
      </c>
      <c r="T381" s="229"/>
      <c r="U381" s="229">
        <f t="shared" ca="1" si="12"/>
        <v>0</v>
      </c>
      <c r="V381" s="229"/>
      <c r="W381" s="229"/>
      <c r="Y381" s="223" t="str">
        <f t="shared" si="13"/>
        <v/>
      </c>
    </row>
    <row r="382" spans="1:25" s="223" customFormat="1" ht="20.25">
      <c r="A382" s="291"/>
      <c r="B382" s="292" t="str">
        <f>IF(LEN(A382)=0,"",INDEX('Smelter Reference List'!$A:$A,MATCH($A382,'Smelter Reference List'!$E:$E,0)))</f>
        <v/>
      </c>
      <c r="C382" s="298" t="str">
        <f>IF(LEN(A382)=0,"",INDEX('Smelter Reference List'!$C:$C,MATCH($A382,'Smelter Reference List'!$E:$E,0)))</f>
        <v/>
      </c>
      <c r="D382" s="292" t="str">
        <f ca="1">IF(ISERROR($S382),"",OFFSET('Smelter Reference List'!$C$4,$S382-4,0)&amp;"")</f>
        <v/>
      </c>
      <c r="E382" s="292" t="str">
        <f ca="1">IF(ISERROR($S382),"",OFFSET('Smelter Reference List'!$D$4,$S382-4,0)&amp;"")</f>
        <v/>
      </c>
      <c r="F382" s="292" t="str">
        <f ca="1">IF(ISERROR($S382),"",OFFSET('Smelter Reference List'!$E$4,$S382-4,0))</f>
        <v/>
      </c>
      <c r="G382" s="292" t="str">
        <f ca="1">IF(C382=$U$4,"Enter smelter details", IF(ISERROR($S382),"",OFFSET('Smelter Reference List'!$F$4,$S382-4,0)))</f>
        <v/>
      </c>
      <c r="H382" s="293" t="str">
        <f ca="1">IF(ISERROR($S382),"",OFFSET('Smelter Reference List'!$G$4,$S382-4,0))</f>
        <v/>
      </c>
      <c r="I382" s="294" t="str">
        <f ca="1">IF(ISERROR($S382),"",OFFSET('Smelter Reference List'!$H$4,$S382-4,0))</f>
        <v/>
      </c>
      <c r="J382" s="294" t="str">
        <f ca="1">IF(ISERROR($S382),"",OFFSET('Smelter Reference List'!$I$4,$S382-4,0))</f>
        <v/>
      </c>
      <c r="K382" s="295"/>
      <c r="L382" s="295"/>
      <c r="M382" s="295"/>
      <c r="N382" s="295"/>
      <c r="O382" s="295"/>
      <c r="P382" s="295"/>
      <c r="Q382" s="296"/>
      <c r="R382" s="227"/>
      <c r="S382" s="228" t="e">
        <f>IF(C382="",NA(),MATCH($B382&amp;$C382,'Smelter Reference List'!$J:$J,0))</f>
        <v>#N/A</v>
      </c>
      <c r="T382" s="229"/>
      <c r="U382" s="229">
        <f t="shared" ca="1" si="12"/>
        <v>0</v>
      </c>
      <c r="V382" s="229"/>
      <c r="W382" s="229"/>
      <c r="Y382" s="223" t="str">
        <f t="shared" si="13"/>
        <v/>
      </c>
    </row>
    <row r="383" spans="1:25" s="223" customFormat="1" ht="20.25">
      <c r="A383" s="291"/>
      <c r="B383" s="292" t="str">
        <f>IF(LEN(A383)=0,"",INDEX('Smelter Reference List'!$A:$A,MATCH($A383,'Smelter Reference List'!$E:$E,0)))</f>
        <v/>
      </c>
      <c r="C383" s="298" t="str">
        <f>IF(LEN(A383)=0,"",INDEX('Smelter Reference List'!$C:$C,MATCH($A383,'Smelter Reference List'!$E:$E,0)))</f>
        <v/>
      </c>
      <c r="D383" s="292" t="str">
        <f ca="1">IF(ISERROR($S383),"",OFFSET('Smelter Reference List'!$C$4,$S383-4,0)&amp;"")</f>
        <v/>
      </c>
      <c r="E383" s="292" t="str">
        <f ca="1">IF(ISERROR($S383),"",OFFSET('Smelter Reference List'!$D$4,$S383-4,0)&amp;"")</f>
        <v/>
      </c>
      <c r="F383" s="292" t="str">
        <f ca="1">IF(ISERROR($S383),"",OFFSET('Smelter Reference List'!$E$4,$S383-4,0))</f>
        <v/>
      </c>
      <c r="G383" s="292" t="str">
        <f ca="1">IF(C383=$U$4,"Enter smelter details", IF(ISERROR($S383),"",OFFSET('Smelter Reference List'!$F$4,$S383-4,0)))</f>
        <v/>
      </c>
      <c r="H383" s="293" t="str">
        <f ca="1">IF(ISERROR($S383),"",OFFSET('Smelter Reference List'!$G$4,$S383-4,0))</f>
        <v/>
      </c>
      <c r="I383" s="294" t="str">
        <f ca="1">IF(ISERROR($S383),"",OFFSET('Smelter Reference List'!$H$4,$S383-4,0))</f>
        <v/>
      </c>
      <c r="J383" s="294" t="str">
        <f ca="1">IF(ISERROR($S383),"",OFFSET('Smelter Reference List'!$I$4,$S383-4,0))</f>
        <v/>
      </c>
      <c r="K383" s="295"/>
      <c r="L383" s="295"/>
      <c r="M383" s="295"/>
      <c r="N383" s="295"/>
      <c r="O383" s="295"/>
      <c r="P383" s="295"/>
      <c r="Q383" s="296"/>
      <c r="R383" s="227"/>
      <c r="S383" s="228" t="e">
        <f>IF(C383="",NA(),MATCH($B383&amp;$C383,'Smelter Reference List'!$J:$J,0))</f>
        <v>#N/A</v>
      </c>
      <c r="T383" s="229"/>
      <c r="U383" s="229">
        <f t="shared" ca="1" si="12"/>
        <v>0</v>
      </c>
      <c r="V383" s="229"/>
      <c r="W383" s="229"/>
      <c r="Y383" s="223" t="str">
        <f t="shared" si="13"/>
        <v/>
      </c>
    </row>
    <row r="384" spans="1:25" s="223" customFormat="1" ht="20.25">
      <c r="A384" s="291"/>
      <c r="B384" s="292" t="str">
        <f>IF(LEN(A384)=0,"",INDEX('Smelter Reference List'!$A:$A,MATCH($A384,'Smelter Reference List'!$E:$E,0)))</f>
        <v/>
      </c>
      <c r="C384" s="298" t="str">
        <f>IF(LEN(A384)=0,"",INDEX('Smelter Reference List'!$C:$C,MATCH($A384,'Smelter Reference List'!$E:$E,0)))</f>
        <v/>
      </c>
      <c r="D384" s="292" t="str">
        <f ca="1">IF(ISERROR($S384),"",OFFSET('Smelter Reference List'!$C$4,$S384-4,0)&amp;"")</f>
        <v/>
      </c>
      <c r="E384" s="292" t="str">
        <f ca="1">IF(ISERROR($S384),"",OFFSET('Smelter Reference List'!$D$4,$S384-4,0)&amp;"")</f>
        <v/>
      </c>
      <c r="F384" s="292" t="str">
        <f ca="1">IF(ISERROR($S384),"",OFFSET('Smelter Reference List'!$E$4,$S384-4,0))</f>
        <v/>
      </c>
      <c r="G384" s="292" t="str">
        <f ca="1">IF(C384=$U$4,"Enter smelter details", IF(ISERROR($S384),"",OFFSET('Smelter Reference List'!$F$4,$S384-4,0)))</f>
        <v/>
      </c>
      <c r="H384" s="293" t="str">
        <f ca="1">IF(ISERROR($S384),"",OFFSET('Smelter Reference List'!$G$4,$S384-4,0))</f>
        <v/>
      </c>
      <c r="I384" s="294" t="str">
        <f ca="1">IF(ISERROR($S384),"",OFFSET('Smelter Reference List'!$H$4,$S384-4,0))</f>
        <v/>
      </c>
      <c r="J384" s="294" t="str">
        <f ca="1">IF(ISERROR($S384),"",OFFSET('Smelter Reference List'!$I$4,$S384-4,0))</f>
        <v/>
      </c>
      <c r="K384" s="295"/>
      <c r="L384" s="295"/>
      <c r="M384" s="295"/>
      <c r="N384" s="295"/>
      <c r="O384" s="295"/>
      <c r="P384" s="295"/>
      <c r="Q384" s="296"/>
      <c r="R384" s="227"/>
      <c r="S384" s="228" t="e">
        <f>IF(C384="",NA(),MATCH($B384&amp;$C384,'Smelter Reference List'!$J:$J,0))</f>
        <v>#N/A</v>
      </c>
      <c r="T384" s="229"/>
      <c r="U384" s="229">
        <f t="shared" ca="1" si="12"/>
        <v>0</v>
      </c>
      <c r="V384" s="229"/>
      <c r="W384" s="229"/>
      <c r="Y384" s="223" t="str">
        <f t="shared" si="13"/>
        <v/>
      </c>
    </row>
    <row r="385" spans="1:25" s="223" customFormat="1" ht="20.25">
      <c r="A385" s="291"/>
      <c r="B385" s="292" t="str">
        <f>IF(LEN(A385)=0,"",INDEX('Smelter Reference List'!$A:$A,MATCH($A385,'Smelter Reference List'!$E:$E,0)))</f>
        <v/>
      </c>
      <c r="C385" s="298" t="str">
        <f>IF(LEN(A385)=0,"",INDEX('Smelter Reference List'!$C:$C,MATCH($A385,'Smelter Reference List'!$E:$E,0)))</f>
        <v/>
      </c>
      <c r="D385" s="292" t="str">
        <f ca="1">IF(ISERROR($S385),"",OFFSET('Smelter Reference List'!$C$4,$S385-4,0)&amp;"")</f>
        <v/>
      </c>
      <c r="E385" s="292" t="str">
        <f ca="1">IF(ISERROR($S385),"",OFFSET('Smelter Reference List'!$D$4,$S385-4,0)&amp;"")</f>
        <v/>
      </c>
      <c r="F385" s="292" t="str">
        <f ca="1">IF(ISERROR($S385),"",OFFSET('Smelter Reference List'!$E$4,$S385-4,0))</f>
        <v/>
      </c>
      <c r="G385" s="292" t="str">
        <f ca="1">IF(C385=$U$4,"Enter smelter details", IF(ISERROR($S385),"",OFFSET('Smelter Reference List'!$F$4,$S385-4,0)))</f>
        <v/>
      </c>
      <c r="H385" s="293" t="str">
        <f ca="1">IF(ISERROR($S385),"",OFFSET('Smelter Reference List'!$G$4,$S385-4,0))</f>
        <v/>
      </c>
      <c r="I385" s="294" t="str">
        <f ca="1">IF(ISERROR($S385),"",OFFSET('Smelter Reference List'!$H$4,$S385-4,0))</f>
        <v/>
      </c>
      <c r="J385" s="294" t="str">
        <f ca="1">IF(ISERROR($S385),"",OFFSET('Smelter Reference List'!$I$4,$S385-4,0))</f>
        <v/>
      </c>
      <c r="K385" s="295"/>
      <c r="L385" s="295"/>
      <c r="M385" s="295"/>
      <c r="N385" s="295"/>
      <c r="O385" s="295"/>
      <c r="P385" s="295"/>
      <c r="Q385" s="296"/>
      <c r="R385" s="227"/>
      <c r="S385" s="228" t="e">
        <f>IF(C385="",NA(),MATCH($B385&amp;$C385,'Smelter Reference List'!$J:$J,0))</f>
        <v>#N/A</v>
      </c>
      <c r="T385" s="229"/>
      <c r="U385" s="229">
        <f t="shared" ca="1" si="12"/>
        <v>0</v>
      </c>
      <c r="V385" s="229"/>
      <c r="W385" s="229"/>
      <c r="Y385" s="223" t="str">
        <f t="shared" si="13"/>
        <v/>
      </c>
    </row>
    <row r="386" spans="1:25" s="223" customFormat="1" ht="20.25">
      <c r="A386" s="291"/>
      <c r="B386" s="292" t="str">
        <f>IF(LEN(A386)=0,"",INDEX('Smelter Reference List'!$A:$A,MATCH($A386,'Smelter Reference List'!$E:$E,0)))</f>
        <v/>
      </c>
      <c r="C386" s="298" t="str">
        <f>IF(LEN(A386)=0,"",INDEX('Smelter Reference List'!$C:$C,MATCH($A386,'Smelter Reference List'!$E:$E,0)))</f>
        <v/>
      </c>
      <c r="D386" s="292" t="str">
        <f ca="1">IF(ISERROR($S386),"",OFFSET('Smelter Reference List'!$C$4,$S386-4,0)&amp;"")</f>
        <v/>
      </c>
      <c r="E386" s="292" t="str">
        <f ca="1">IF(ISERROR($S386),"",OFFSET('Smelter Reference List'!$D$4,$S386-4,0)&amp;"")</f>
        <v/>
      </c>
      <c r="F386" s="292" t="str">
        <f ca="1">IF(ISERROR($S386),"",OFFSET('Smelter Reference List'!$E$4,$S386-4,0))</f>
        <v/>
      </c>
      <c r="G386" s="292" t="str">
        <f ca="1">IF(C386=$U$4,"Enter smelter details", IF(ISERROR($S386),"",OFFSET('Smelter Reference List'!$F$4,$S386-4,0)))</f>
        <v/>
      </c>
      <c r="H386" s="293" t="str">
        <f ca="1">IF(ISERROR($S386),"",OFFSET('Smelter Reference List'!$G$4,$S386-4,0))</f>
        <v/>
      </c>
      <c r="I386" s="294" t="str">
        <f ca="1">IF(ISERROR($S386),"",OFFSET('Smelter Reference List'!$H$4,$S386-4,0))</f>
        <v/>
      </c>
      <c r="J386" s="294" t="str">
        <f ca="1">IF(ISERROR($S386),"",OFFSET('Smelter Reference List'!$I$4,$S386-4,0))</f>
        <v/>
      </c>
      <c r="K386" s="295"/>
      <c r="L386" s="295"/>
      <c r="M386" s="295"/>
      <c r="N386" s="295"/>
      <c r="O386" s="295"/>
      <c r="P386" s="295"/>
      <c r="Q386" s="296"/>
      <c r="R386" s="227"/>
      <c r="S386" s="228" t="e">
        <f>IF(C386="",NA(),MATCH($B386&amp;$C386,'Smelter Reference List'!$J:$J,0))</f>
        <v>#N/A</v>
      </c>
      <c r="T386" s="229"/>
      <c r="U386" s="229">
        <f t="shared" ca="1" si="12"/>
        <v>0</v>
      </c>
      <c r="V386" s="229"/>
      <c r="W386" s="229"/>
      <c r="Y386" s="223" t="str">
        <f t="shared" si="13"/>
        <v/>
      </c>
    </row>
    <row r="387" spans="1:25" s="223" customFormat="1" ht="20.25">
      <c r="A387" s="291"/>
      <c r="B387" s="292" t="str">
        <f>IF(LEN(A387)=0,"",INDEX('Smelter Reference List'!$A:$A,MATCH($A387,'Smelter Reference List'!$E:$E,0)))</f>
        <v/>
      </c>
      <c r="C387" s="298" t="str">
        <f>IF(LEN(A387)=0,"",INDEX('Smelter Reference List'!$C:$C,MATCH($A387,'Smelter Reference List'!$E:$E,0)))</f>
        <v/>
      </c>
      <c r="D387" s="292" t="str">
        <f ca="1">IF(ISERROR($S387),"",OFFSET('Smelter Reference List'!$C$4,$S387-4,0)&amp;"")</f>
        <v/>
      </c>
      <c r="E387" s="292" t="str">
        <f ca="1">IF(ISERROR($S387),"",OFFSET('Smelter Reference List'!$D$4,$S387-4,0)&amp;"")</f>
        <v/>
      </c>
      <c r="F387" s="292" t="str">
        <f ca="1">IF(ISERROR($S387),"",OFFSET('Smelter Reference List'!$E$4,$S387-4,0))</f>
        <v/>
      </c>
      <c r="G387" s="292" t="str">
        <f ca="1">IF(C387=$U$4,"Enter smelter details", IF(ISERROR($S387),"",OFFSET('Smelter Reference List'!$F$4,$S387-4,0)))</f>
        <v/>
      </c>
      <c r="H387" s="293" t="str">
        <f ca="1">IF(ISERROR($S387),"",OFFSET('Smelter Reference List'!$G$4,$S387-4,0))</f>
        <v/>
      </c>
      <c r="I387" s="294" t="str">
        <f ca="1">IF(ISERROR($S387),"",OFFSET('Smelter Reference List'!$H$4,$S387-4,0))</f>
        <v/>
      </c>
      <c r="J387" s="294" t="str">
        <f ca="1">IF(ISERROR($S387),"",OFFSET('Smelter Reference List'!$I$4,$S387-4,0))</f>
        <v/>
      </c>
      <c r="K387" s="295"/>
      <c r="L387" s="295"/>
      <c r="M387" s="295"/>
      <c r="N387" s="295"/>
      <c r="O387" s="295"/>
      <c r="P387" s="295"/>
      <c r="Q387" s="296"/>
      <c r="R387" s="227"/>
      <c r="S387" s="228" t="e">
        <f>IF(C387="",NA(),MATCH($B387&amp;$C387,'Smelter Reference List'!$J:$J,0))</f>
        <v>#N/A</v>
      </c>
      <c r="T387" s="229"/>
      <c r="U387" s="229">
        <f t="shared" ca="1" si="12"/>
        <v>0</v>
      </c>
      <c r="V387" s="229"/>
      <c r="W387" s="229"/>
      <c r="Y387" s="223" t="str">
        <f t="shared" si="13"/>
        <v/>
      </c>
    </row>
    <row r="388" spans="1:25" s="223" customFormat="1" ht="20.25">
      <c r="A388" s="291"/>
      <c r="B388" s="292" t="str">
        <f>IF(LEN(A388)=0,"",INDEX('Smelter Reference List'!$A:$A,MATCH($A388,'Smelter Reference List'!$E:$E,0)))</f>
        <v/>
      </c>
      <c r="C388" s="298" t="str">
        <f>IF(LEN(A388)=0,"",INDEX('Smelter Reference List'!$C:$C,MATCH($A388,'Smelter Reference List'!$E:$E,0)))</f>
        <v/>
      </c>
      <c r="D388" s="292" t="str">
        <f ca="1">IF(ISERROR($S388),"",OFFSET('Smelter Reference List'!$C$4,$S388-4,0)&amp;"")</f>
        <v/>
      </c>
      <c r="E388" s="292" t="str">
        <f ca="1">IF(ISERROR($S388),"",OFFSET('Smelter Reference List'!$D$4,$S388-4,0)&amp;"")</f>
        <v/>
      </c>
      <c r="F388" s="292" t="str">
        <f ca="1">IF(ISERROR($S388),"",OFFSET('Smelter Reference List'!$E$4,$S388-4,0))</f>
        <v/>
      </c>
      <c r="G388" s="292" t="str">
        <f ca="1">IF(C388=$U$4,"Enter smelter details", IF(ISERROR($S388),"",OFFSET('Smelter Reference List'!$F$4,$S388-4,0)))</f>
        <v/>
      </c>
      <c r="H388" s="293" t="str">
        <f ca="1">IF(ISERROR($S388),"",OFFSET('Smelter Reference List'!$G$4,$S388-4,0))</f>
        <v/>
      </c>
      <c r="I388" s="294" t="str">
        <f ca="1">IF(ISERROR($S388),"",OFFSET('Smelter Reference List'!$H$4,$S388-4,0))</f>
        <v/>
      </c>
      <c r="J388" s="294" t="str">
        <f ca="1">IF(ISERROR($S388),"",OFFSET('Smelter Reference List'!$I$4,$S388-4,0))</f>
        <v/>
      </c>
      <c r="K388" s="295"/>
      <c r="L388" s="295"/>
      <c r="M388" s="295"/>
      <c r="N388" s="295"/>
      <c r="O388" s="295"/>
      <c r="P388" s="295"/>
      <c r="Q388" s="296"/>
      <c r="R388" s="227"/>
      <c r="S388" s="228" t="e">
        <f>IF(C388="",NA(),MATCH($B388&amp;$C388,'Smelter Reference List'!$J:$J,0))</f>
        <v>#N/A</v>
      </c>
      <c r="T388" s="229"/>
      <c r="U388" s="229">
        <f t="shared" ca="1" si="12"/>
        <v>0</v>
      </c>
      <c r="V388" s="229"/>
      <c r="W388" s="229"/>
      <c r="Y388" s="223" t="str">
        <f t="shared" si="13"/>
        <v/>
      </c>
    </row>
    <row r="389" spans="1:25" s="223" customFormat="1" ht="20.25">
      <c r="A389" s="291"/>
      <c r="B389" s="292" t="str">
        <f>IF(LEN(A389)=0,"",INDEX('Smelter Reference List'!$A:$A,MATCH($A389,'Smelter Reference List'!$E:$E,0)))</f>
        <v/>
      </c>
      <c r="C389" s="298" t="str">
        <f>IF(LEN(A389)=0,"",INDEX('Smelter Reference List'!$C:$C,MATCH($A389,'Smelter Reference List'!$E:$E,0)))</f>
        <v/>
      </c>
      <c r="D389" s="292" t="str">
        <f ca="1">IF(ISERROR($S389),"",OFFSET('Smelter Reference List'!$C$4,$S389-4,0)&amp;"")</f>
        <v/>
      </c>
      <c r="E389" s="292" t="str">
        <f ca="1">IF(ISERROR($S389),"",OFFSET('Smelter Reference List'!$D$4,$S389-4,0)&amp;"")</f>
        <v/>
      </c>
      <c r="F389" s="292" t="str">
        <f ca="1">IF(ISERROR($S389),"",OFFSET('Smelter Reference List'!$E$4,$S389-4,0))</f>
        <v/>
      </c>
      <c r="G389" s="292" t="str">
        <f ca="1">IF(C389=$U$4,"Enter smelter details", IF(ISERROR($S389),"",OFFSET('Smelter Reference List'!$F$4,$S389-4,0)))</f>
        <v/>
      </c>
      <c r="H389" s="293" t="str">
        <f ca="1">IF(ISERROR($S389),"",OFFSET('Smelter Reference List'!$G$4,$S389-4,0))</f>
        <v/>
      </c>
      <c r="I389" s="294" t="str">
        <f ca="1">IF(ISERROR($S389),"",OFFSET('Smelter Reference List'!$H$4,$S389-4,0))</f>
        <v/>
      </c>
      <c r="J389" s="294" t="str">
        <f ca="1">IF(ISERROR($S389),"",OFFSET('Smelter Reference List'!$I$4,$S389-4,0))</f>
        <v/>
      </c>
      <c r="K389" s="295"/>
      <c r="L389" s="295"/>
      <c r="M389" s="295"/>
      <c r="N389" s="295"/>
      <c r="O389" s="295"/>
      <c r="P389" s="295"/>
      <c r="Q389" s="296"/>
      <c r="R389" s="227"/>
      <c r="S389" s="228" t="e">
        <f>IF(C389="",NA(),MATCH($B389&amp;$C389,'Smelter Reference List'!$J:$J,0))</f>
        <v>#N/A</v>
      </c>
      <c r="T389" s="229"/>
      <c r="U389" s="229">
        <f t="shared" ref="U389:U452" ca="1" si="14">IF(AND(C389="Smelter not listed",OR(LEN(D389)=0,LEN(E389)=0)),1,0)</f>
        <v>0</v>
      </c>
      <c r="V389" s="229"/>
      <c r="W389" s="229"/>
      <c r="Y389" s="223" t="str">
        <f t="shared" ref="Y389:Y452" si="15">B389&amp;C389</f>
        <v/>
      </c>
    </row>
    <row r="390" spans="1:25" s="223" customFormat="1" ht="20.25">
      <c r="A390" s="291"/>
      <c r="B390" s="292" t="str">
        <f>IF(LEN(A390)=0,"",INDEX('Smelter Reference List'!$A:$A,MATCH($A390,'Smelter Reference List'!$E:$E,0)))</f>
        <v/>
      </c>
      <c r="C390" s="298" t="str">
        <f>IF(LEN(A390)=0,"",INDEX('Smelter Reference List'!$C:$C,MATCH($A390,'Smelter Reference List'!$E:$E,0)))</f>
        <v/>
      </c>
      <c r="D390" s="292" t="str">
        <f ca="1">IF(ISERROR($S390),"",OFFSET('Smelter Reference List'!$C$4,$S390-4,0)&amp;"")</f>
        <v/>
      </c>
      <c r="E390" s="292" t="str">
        <f ca="1">IF(ISERROR($S390),"",OFFSET('Smelter Reference List'!$D$4,$S390-4,0)&amp;"")</f>
        <v/>
      </c>
      <c r="F390" s="292" t="str">
        <f ca="1">IF(ISERROR($S390),"",OFFSET('Smelter Reference List'!$E$4,$S390-4,0))</f>
        <v/>
      </c>
      <c r="G390" s="292" t="str">
        <f ca="1">IF(C390=$U$4,"Enter smelter details", IF(ISERROR($S390),"",OFFSET('Smelter Reference List'!$F$4,$S390-4,0)))</f>
        <v/>
      </c>
      <c r="H390" s="293" t="str">
        <f ca="1">IF(ISERROR($S390),"",OFFSET('Smelter Reference List'!$G$4,$S390-4,0))</f>
        <v/>
      </c>
      <c r="I390" s="294" t="str">
        <f ca="1">IF(ISERROR($S390),"",OFFSET('Smelter Reference List'!$H$4,$S390-4,0))</f>
        <v/>
      </c>
      <c r="J390" s="294" t="str">
        <f ca="1">IF(ISERROR($S390),"",OFFSET('Smelter Reference List'!$I$4,$S390-4,0))</f>
        <v/>
      </c>
      <c r="K390" s="295"/>
      <c r="L390" s="295"/>
      <c r="M390" s="295"/>
      <c r="N390" s="295"/>
      <c r="O390" s="295"/>
      <c r="P390" s="295"/>
      <c r="Q390" s="296"/>
      <c r="R390" s="227"/>
      <c r="S390" s="228" t="e">
        <f>IF(C390="",NA(),MATCH($B390&amp;$C390,'Smelter Reference List'!$J:$J,0))</f>
        <v>#N/A</v>
      </c>
      <c r="T390" s="229"/>
      <c r="U390" s="229">
        <f t="shared" ca="1" si="14"/>
        <v>0</v>
      </c>
      <c r="V390" s="229"/>
      <c r="W390" s="229"/>
      <c r="Y390" s="223" t="str">
        <f t="shared" si="15"/>
        <v/>
      </c>
    </row>
    <row r="391" spans="1:25" s="223" customFormat="1" ht="20.25">
      <c r="A391" s="291"/>
      <c r="B391" s="292" t="str">
        <f>IF(LEN(A391)=0,"",INDEX('Smelter Reference List'!$A:$A,MATCH($A391,'Smelter Reference List'!$E:$E,0)))</f>
        <v/>
      </c>
      <c r="C391" s="298" t="str">
        <f>IF(LEN(A391)=0,"",INDEX('Smelter Reference List'!$C:$C,MATCH($A391,'Smelter Reference List'!$E:$E,0)))</f>
        <v/>
      </c>
      <c r="D391" s="292" t="str">
        <f ca="1">IF(ISERROR($S391),"",OFFSET('Smelter Reference List'!$C$4,$S391-4,0)&amp;"")</f>
        <v/>
      </c>
      <c r="E391" s="292" t="str">
        <f ca="1">IF(ISERROR($S391),"",OFFSET('Smelter Reference List'!$D$4,$S391-4,0)&amp;"")</f>
        <v/>
      </c>
      <c r="F391" s="292" t="str">
        <f ca="1">IF(ISERROR($S391),"",OFFSET('Smelter Reference List'!$E$4,$S391-4,0))</f>
        <v/>
      </c>
      <c r="G391" s="292" t="str">
        <f ca="1">IF(C391=$U$4,"Enter smelter details", IF(ISERROR($S391),"",OFFSET('Smelter Reference List'!$F$4,$S391-4,0)))</f>
        <v/>
      </c>
      <c r="H391" s="293" t="str">
        <f ca="1">IF(ISERROR($S391),"",OFFSET('Smelter Reference List'!$G$4,$S391-4,0))</f>
        <v/>
      </c>
      <c r="I391" s="294" t="str">
        <f ca="1">IF(ISERROR($S391),"",OFFSET('Smelter Reference List'!$H$4,$S391-4,0))</f>
        <v/>
      </c>
      <c r="J391" s="294" t="str">
        <f ca="1">IF(ISERROR($S391),"",OFFSET('Smelter Reference List'!$I$4,$S391-4,0))</f>
        <v/>
      </c>
      <c r="K391" s="295"/>
      <c r="L391" s="295"/>
      <c r="M391" s="295"/>
      <c r="N391" s="295"/>
      <c r="O391" s="295"/>
      <c r="P391" s="295"/>
      <c r="Q391" s="296"/>
      <c r="R391" s="227"/>
      <c r="S391" s="228" t="e">
        <f>IF(C391="",NA(),MATCH($B391&amp;$C391,'Smelter Reference List'!$J:$J,0))</f>
        <v>#N/A</v>
      </c>
      <c r="T391" s="229"/>
      <c r="U391" s="229">
        <f t="shared" ca="1" si="14"/>
        <v>0</v>
      </c>
      <c r="V391" s="229"/>
      <c r="W391" s="229"/>
      <c r="Y391" s="223" t="str">
        <f t="shared" si="15"/>
        <v/>
      </c>
    </row>
    <row r="392" spans="1:25" s="223" customFormat="1" ht="20.25">
      <c r="A392" s="291"/>
      <c r="B392" s="292" t="str">
        <f>IF(LEN(A392)=0,"",INDEX('Smelter Reference List'!$A:$A,MATCH($A392,'Smelter Reference List'!$E:$E,0)))</f>
        <v/>
      </c>
      <c r="C392" s="298" t="str">
        <f>IF(LEN(A392)=0,"",INDEX('Smelter Reference List'!$C:$C,MATCH($A392,'Smelter Reference List'!$E:$E,0)))</f>
        <v/>
      </c>
      <c r="D392" s="292" t="str">
        <f ca="1">IF(ISERROR($S392),"",OFFSET('Smelter Reference List'!$C$4,$S392-4,0)&amp;"")</f>
        <v/>
      </c>
      <c r="E392" s="292" t="str">
        <f ca="1">IF(ISERROR($S392),"",OFFSET('Smelter Reference List'!$D$4,$S392-4,0)&amp;"")</f>
        <v/>
      </c>
      <c r="F392" s="292" t="str">
        <f ca="1">IF(ISERROR($S392),"",OFFSET('Smelter Reference List'!$E$4,$S392-4,0))</f>
        <v/>
      </c>
      <c r="G392" s="292" t="str">
        <f ca="1">IF(C392=$U$4,"Enter smelter details", IF(ISERROR($S392),"",OFFSET('Smelter Reference List'!$F$4,$S392-4,0)))</f>
        <v/>
      </c>
      <c r="H392" s="293" t="str">
        <f ca="1">IF(ISERROR($S392),"",OFFSET('Smelter Reference List'!$G$4,$S392-4,0))</f>
        <v/>
      </c>
      <c r="I392" s="294" t="str">
        <f ca="1">IF(ISERROR($S392),"",OFFSET('Smelter Reference List'!$H$4,$S392-4,0))</f>
        <v/>
      </c>
      <c r="J392" s="294" t="str">
        <f ca="1">IF(ISERROR($S392),"",OFFSET('Smelter Reference List'!$I$4,$S392-4,0))</f>
        <v/>
      </c>
      <c r="K392" s="295"/>
      <c r="L392" s="295"/>
      <c r="M392" s="295"/>
      <c r="N392" s="295"/>
      <c r="O392" s="295"/>
      <c r="P392" s="295"/>
      <c r="Q392" s="296"/>
      <c r="R392" s="227"/>
      <c r="S392" s="228" t="e">
        <f>IF(C392="",NA(),MATCH($B392&amp;$C392,'Smelter Reference List'!$J:$J,0))</f>
        <v>#N/A</v>
      </c>
      <c r="T392" s="229"/>
      <c r="U392" s="229">
        <f t="shared" ca="1" si="14"/>
        <v>0</v>
      </c>
      <c r="V392" s="229"/>
      <c r="W392" s="229"/>
      <c r="Y392" s="223" t="str">
        <f t="shared" si="15"/>
        <v/>
      </c>
    </row>
    <row r="393" spans="1:25" s="223" customFormat="1" ht="20.25">
      <c r="A393" s="291"/>
      <c r="B393" s="292" t="str">
        <f>IF(LEN(A393)=0,"",INDEX('Smelter Reference List'!$A:$A,MATCH($A393,'Smelter Reference List'!$E:$E,0)))</f>
        <v/>
      </c>
      <c r="C393" s="298" t="str">
        <f>IF(LEN(A393)=0,"",INDEX('Smelter Reference List'!$C:$C,MATCH($A393,'Smelter Reference List'!$E:$E,0)))</f>
        <v/>
      </c>
      <c r="D393" s="292" t="str">
        <f ca="1">IF(ISERROR($S393),"",OFFSET('Smelter Reference List'!$C$4,$S393-4,0)&amp;"")</f>
        <v/>
      </c>
      <c r="E393" s="292" t="str">
        <f ca="1">IF(ISERROR($S393),"",OFFSET('Smelter Reference List'!$D$4,$S393-4,0)&amp;"")</f>
        <v/>
      </c>
      <c r="F393" s="292" t="str">
        <f ca="1">IF(ISERROR($S393),"",OFFSET('Smelter Reference List'!$E$4,$S393-4,0))</f>
        <v/>
      </c>
      <c r="G393" s="292" t="str">
        <f ca="1">IF(C393=$U$4,"Enter smelter details", IF(ISERROR($S393),"",OFFSET('Smelter Reference List'!$F$4,$S393-4,0)))</f>
        <v/>
      </c>
      <c r="H393" s="293" t="str">
        <f ca="1">IF(ISERROR($S393),"",OFFSET('Smelter Reference List'!$G$4,$S393-4,0))</f>
        <v/>
      </c>
      <c r="I393" s="294" t="str">
        <f ca="1">IF(ISERROR($S393),"",OFFSET('Smelter Reference List'!$H$4,$S393-4,0))</f>
        <v/>
      </c>
      <c r="J393" s="294" t="str">
        <f ca="1">IF(ISERROR($S393),"",OFFSET('Smelter Reference List'!$I$4,$S393-4,0))</f>
        <v/>
      </c>
      <c r="K393" s="295"/>
      <c r="L393" s="295"/>
      <c r="M393" s="295"/>
      <c r="N393" s="295"/>
      <c r="O393" s="295"/>
      <c r="P393" s="295"/>
      <c r="Q393" s="296"/>
      <c r="R393" s="227"/>
      <c r="S393" s="228" t="e">
        <f>IF(C393="",NA(),MATCH($B393&amp;$C393,'Smelter Reference List'!$J:$J,0))</f>
        <v>#N/A</v>
      </c>
      <c r="T393" s="229"/>
      <c r="U393" s="229">
        <f t="shared" ca="1" si="14"/>
        <v>0</v>
      </c>
      <c r="V393" s="229"/>
      <c r="W393" s="229"/>
      <c r="Y393" s="223" t="str">
        <f t="shared" si="15"/>
        <v/>
      </c>
    </row>
    <row r="394" spans="1:25" s="223" customFormat="1" ht="20.25">
      <c r="A394" s="291"/>
      <c r="B394" s="292" t="str">
        <f>IF(LEN(A394)=0,"",INDEX('Smelter Reference List'!$A:$A,MATCH($A394,'Smelter Reference List'!$E:$E,0)))</f>
        <v/>
      </c>
      <c r="C394" s="298" t="str">
        <f>IF(LEN(A394)=0,"",INDEX('Smelter Reference List'!$C:$C,MATCH($A394,'Smelter Reference List'!$E:$E,0)))</f>
        <v/>
      </c>
      <c r="D394" s="292" t="str">
        <f ca="1">IF(ISERROR($S394),"",OFFSET('Smelter Reference List'!$C$4,$S394-4,0)&amp;"")</f>
        <v/>
      </c>
      <c r="E394" s="292" t="str">
        <f ca="1">IF(ISERROR($S394),"",OFFSET('Smelter Reference List'!$D$4,$S394-4,0)&amp;"")</f>
        <v/>
      </c>
      <c r="F394" s="292" t="str">
        <f ca="1">IF(ISERROR($S394),"",OFFSET('Smelter Reference List'!$E$4,$S394-4,0))</f>
        <v/>
      </c>
      <c r="G394" s="292" t="str">
        <f ca="1">IF(C394=$U$4,"Enter smelter details", IF(ISERROR($S394),"",OFFSET('Smelter Reference List'!$F$4,$S394-4,0)))</f>
        <v/>
      </c>
      <c r="H394" s="293" t="str">
        <f ca="1">IF(ISERROR($S394),"",OFFSET('Smelter Reference List'!$G$4,$S394-4,0))</f>
        <v/>
      </c>
      <c r="I394" s="294" t="str">
        <f ca="1">IF(ISERROR($S394),"",OFFSET('Smelter Reference List'!$H$4,$S394-4,0))</f>
        <v/>
      </c>
      <c r="J394" s="294" t="str">
        <f ca="1">IF(ISERROR($S394),"",OFFSET('Smelter Reference List'!$I$4,$S394-4,0))</f>
        <v/>
      </c>
      <c r="K394" s="295"/>
      <c r="L394" s="295"/>
      <c r="M394" s="295"/>
      <c r="N394" s="295"/>
      <c r="O394" s="295"/>
      <c r="P394" s="295"/>
      <c r="Q394" s="296"/>
      <c r="R394" s="227"/>
      <c r="S394" s="228" t="e">
        <f>IF(C394="",NA(),MATCH($B394&amp;$C394,'Smelter Reference List'!$J:$J,0))</f>
        <v>#N/A</v>
      </c>
      <c r="T394" s="229"/>
      <c r="U394" s="229">
        <f t="shared" ca="1" si="14"/>
        <v>0</v>
      </c>
      <c r="V394" s="229"/>
      <c r="W394" s="229"/>
      <c r="Y394" s="223" t="str">
        <f t="shared" si="15"/>
        <v/>
      </c>
    </row>
    <row r="395" spans="1:25" s="223" customFormat="1" ht="20.25">
      <c r="A395" s="291"/>
      <c r="B395" s="292" t="str">
        <f>IF(LEN(A395)=0,"",INDEX('Smelter Reference List'!$A:$A,MATCH($A395,'Smelter Reference List'!$E:$E,0)))</f>
        <v/>
      </c>
      <c r="C395" s="298" t="str">
        <f>IF(LEN(A395)=0,"",INDEX('Smelter Reference List'!$C:$C,MATCH($A395,'Smelter Reference List'!$E:$E,0)))</f>
        <v/>
      </c>
      <c r="D395" s="292" t="str">
        <f ca="1">IF(ISERROR($S395),"",OFFSET('Smelter Reference List'!$C$4,$S395-4,0)&amp;"")</f>
        <v/>
      </c>
      <c r="E395" s="292" t="str">
        <f ca="1">IF(ISERROR($S395),"",OFFSET('Smelter Reference List'!$D$4,$S395-4,0)&amp;"")</f>
        <v/>
      </c>
      <c r="F395" s="292" t="str">
        <f ca="1">IF(ISERROR($S395),"",OFFSET('Smelter Reference List'!$E$4,$S395-4,0))</f>
        <v/>
      </c>
      <c r="G395" s="292" t="str">
        <f ca="1">IF(C395=$U$4,"Enter smelter details", IF(ISERROR($S395),"",OFFSET('Smelter Reference List'!$F$4,$S395-4,0)))</f>
        <v/>
      </c>
      <c r="H395" s="293" t="str">
        <f ca="1">IF(ISERROR($S395),"",OFFSET('Smelter Reference List'!$G$4,$S395-4,0))</f>
        <v/>
      </c>
      <c r="I395" s="294" t="str">
        <f ca="1">IF(ISERROR($S395),"",OFFSET('Smelter Reference List'!$H$4,$S395-4,0))</f>
        <v/>
      </c>
      <c r="J395" s="294" t="str">
        <f ca="1">IF(ISERROR($S395),"",OFFSET('Smelter Reference List'!$I$4,$S395-4,0))</f>
        <v/>
      </c>
      <c r="K395" s="295"/>
      <c r="L395" s="295"/>
      <c r="M395" s="295"/>
      <c r="N395" s="295"/>
      <c r="O395" s="295"/>
      <c r="P395" s="295"/>
      <c r="Q395" s="296"/>
      <c r="R395" s="227"/>
      <c r="S395" s="228" t="e">
        <f>IF(C395="",NA(),MATCH($B395&amp;$C395,'Smelter Reference List'!$J:$J,0))</f>
        <v>#N/A</v>
      </c>
      <c r="T395" s="229"/>
      <c r="U395" s="229">
        <f t="shared" ca="1" si="14"/>
        <v>0</v>
      </c>
      <c r="V395" s="229"/>
      <c r="W395" s="229"/>
      <c r="Y395" s="223" t="str">
        <f t="shared" si="15"/>
        <v/>
      </c>
    </row>
    <row r="396" spans="1:25" s="223" customFormat="1" ht="20.25">
      <c r="A396" s="291"/>
      <c r="B396" s="292" t="str">
        <f>IF(LEN(A396)=0,"",INDEX('Smelter Reference List'!$A:$A,MATCH($A396,'Smelter Reference List'!$E:$E,0)))</f>
        <v/>
      </c>
      <c r="C396" s="298" t="str">
        <f>IF(LEN(A396)=0,"",INDEX('Smelter Reference List'!$C:$C,MATCH($A396,'Smelter Reference List'!$E:$E,0)))</f>
        <v/>
      </c>
      <c r="D396" s="292" t="str">
        <f ca="1">IF(ISERROR($S396),"",OFFSET('Smelter Reference List'!$C$4,$S396-4,0)&amp;"")</f>
        <v/>
      </c>
      <c r="E396" s="292" t="str">
        <f ca="1">IF(ISERROR($S396),"",OFFSET('Smelter Reference List'!$D$4,$S396-4,0)&amp;"")</f>
        <v/>
      </c>
      <c r="F396" s="292" t="str">
        <f ca="1">IF(ISERROR($S396),"",OFFSET('Smelter Reference List'!$E$4,$S396-4,0))</f>
        <v/>
      </c>
      <c r="G396" s="292" t="str">
        <f ca="1">IF(C396=$U$4,"Enter smelter details", IF(ISERROR($S396),"",OFFSET('Smelter Reference List'!$F$4,$S396-4,0)))</f>
        <v/>
      </c>
      <c r="H396" s="293" t="str">
        <f ca="1">IF(ISERROR($S396),"",OFFSET('Smelter Reference List'!$G$4,$S396-4,0))</f>
        <v/>
      </c>
      <c r="I396" s="294" t="str">
        <f ca="1">IF(ISERROR($S396),"",OFFSET('Smelter Reference List'!$H$4,$S396-4,0))</f>
        <v/>
      </c>
      <c r="J396" s="294" t="str">
        <f ca="1">IF(ISERROR($S396),"",OFFSET('Smelter Reference List'!$I$4,$S396-4,0))</f>
        <v/>
      </c>
      <c r="K396" s="295"/>
      <c r="L396" s="295"/>
      <c r="M396" s="295"/>
      <c r="N396" s="295"/>
      <c r="O396" s="295"/>
      <c r="P396" s="295"/>
      <c r="Q396" s="296"/>
      <c r="R396" s="227"/>
      <c r="S396" s="228" t="e">
        <f>IF(C396="",NA(),MATCH($B396&amp;$C396,'Smelter Reference List'!$J:$J,0))</f>
        <v>#N/A</v>
      </c>
      <c r="T396" s="229"/>
      <c r="U396" s="229">
        <f t="shared" ca="1" si="14"/>
        <v>0</v>
      </c>
      <c r="V396" s="229"/>
      <c r="W396" s="229"/>
      <c r="Y396" s="223" t="str">
        <f t="shared" si="15"/>
        <v/>
      </c>
    </row>
    <row r="397" spans="1:25" s="223" customFormat="1" ht="20.25">
      <c r="A397" s="291"/>
      <c r="B397" s="292" t="str">
        <f>IF(LEN(A397)=0,"",INDEX('Smelter Reference List'!$A:$A,MATCH($A397,'Smelter Reference List'!$E:$E,0)))</f>
        <v/>
      </c>
      <c r="C397" s="298" t="str">
        <f>IF(LEN(A397)=0,"",INDEX('Smelter Reference List'!$C:$C,MATCH($A397,'Smelter Reference List'!$E:$E,0)))</f>
        <v/>
      </c>
      <c r="D397" s="292" t="str">
        <f ca="1">IF(ISERROR($S397),"",OFFSET('Smelter Reference List'!$C$4,$S397-4,0)&amp;"")</f>
        <v/>
      </c>
      <c r="E397" s="292" t="str">
        <f ca="1">IF(ISERROR($S397),"",OFFSET('Smelter Reference List'!$D$4,$S397-4,0)&amp;"")</f>
        <v/>
      </c>
      <c r="F397" s="292" t="str">
        <f ca="1">IF(ISERROR($S397),"",OFFSET('Smelter Reference List'!$E$4,$S397-4,0))</f>
        <v/>
      </c>
      <c r="G397" s="292" t="str">
        <f ca="1">IF(C397=$U$4,"Enter smelter details", IF(ISERROR($S397),"",OFFSET('Smelter Reference List'!$F$4,$S397-4,0)))</f>
        <v/>
      </c>
      <c r="H397" s="293" t="str">
        <f ca="1">IF(ISERROR($S397),"",OFFSET('Smelter Reference List'!$G$4,$S397-4,0))</f>
        <v/>
      </c>
      <c r="I397" s="294" t="str">
        <f ca="1">IF(ISERROR($S397),"",OFFSET('Smelter Reference List'!$H$4,$S397-4,0))</f>
        <v/>
      </c>
      <c r="J397" s="294" t="str">
        <f ca="1">IF(ISERROR($S397),"",OFFSET('Smelter Reference List'!$I$4,$S397-4,0))</f>
        <v/>
      </c>
      <c r="K397" s="295"/>
      <c r="L397" s="295"/>
      <c r="M397" s="295"/>
      <c r="N397" s="295"/>
      <c r="O397" s="295"/>
      <c r="P397" s="295"/>
      <c r="Q397" s="296"/>
      <c r="R397" s="227"/>
      <c r="S397" s="228" t="e">
        <f>IF(C397="",NA(),MATCH($B397&amp;$C397,'Smelter Reference List'!$J:$J,0))</f>
        <v>#N/A</v>
      </c>
      <c r="T397" s="229"/>
      <c r="U397" s="229">
        <f t="shared" ca="1" si="14"/>
        <v>0</v>
      </c>
      <c r="V397" s="229"/>
      <c r="W397" s="229"/>
      <c r="Y397" s="223" t="str">
        <f t="shared" si="15"/>
        <v/>
      </c>
    </row>
    <row r="398" spans="1:25" s="223" customFormat="1" ht="20.25">
      <c r="A398" s="291"/>
      <c r="B398" s="292" t="str">
        <f>IF(LEN(A398)=0,"",INDEX('Smelter Reference List'!$A:$A,MATCH($A398,'Smelter Reference List'!$E:$E,0)))</f>
        <v/>
      </c>
      <c r="C398" s="298" t="str">
        <f>IF(LEN(A398)=0,"",INDEX('Smelter Reference List'!$C:$C,MATCH($A398,'Smelter Reference List'!$E:$E,0)))</f>
        <v/>
      </c>
      <c r="D398" s="292" t="str">
        <f ca="1">IF(ISERROR($S398),"",OFFSET('Smelter Reference List'!$C$4,$S398-4,0)&amp;"")</f>
        <v/>
      </c>
      <c r="E398" s="292" t="str">
        <f ca="1">IF(ISERROR($S398),"",OFFSET('Smelter Reference List'!$D$4,$S398-4,0)&amp;"")</f>
        <v/>
      </c>
      <c r="F398" s="292" t="str">
        <f ca="1">IF(ISERROR($S398),"",OFFSET('Smelter Reference List'!$E$4,$S398-4,0))</f>
        <v/>
      </c>
      <c r="G398" s="292" t="str">
        <f ca="1">IF(C398=$U$4,"Enter smelter details", IF(ISERROR($S398),"",OFFSET('Smelter Reference List'!$F$4,$S398-4,0)))</f>
        <v/>
      </c>
      <c r="H398" s="293" t="str">
        <f ca="1">IF(ISERROR($S398),"",OFFSET('Smelter Reference List'!$G$4,$S398-4,0))</f>
        <v/>
      </c>
      <c r="I398" s="294" t="str">
        <f ca="1">IF(ISERROR($S398),"",OFFSET('Smelter Reference List'!$H$4,$S398-4,0))</f>
        <v/>
      </c>
      <c r="J398" s="294" t="str">
        <f ca="1">IF(ISERROR($S398),"",OFFSET('Smelter Reference List'!$I$4,$S398-4,0))</f>
        <v/>
      </c>
      <c r="K398" s="295"/>
      <c r="L398" s="295"/>
      <c r="M398" s="295"/>
      <c r="N398" s="295"/>
      <c r="O398" s="295"/>
      <c r="P398" s="295"/>
      <c r="Q398" s="296"/>
      <c r="R398" s="227"/>
      <c r="S398" s="228" t="e">
        <f>IF(C398="",NA(),MATCH($B398&amp;$C398,'Smelter Reference List'!$J:$J,0))</f>
        <v>#N/A</v>
      </c>
      <c r="T398" s="229"/>
      <c r="U398" s="229">
        <f t="shared" ca="1" si="14"/>
        <v>0</v>
      </c>
      <c r="V398" s="229"/>
      <c r="W398" s="229"/>
      <c r="Y398" s="223" t="str">
        <f t="shared" si="15"/>
        <v/>
      </c>
    </row>
    <row r="399" spans="1:25" s="223" customFormat="1" ht="20.25">
      <c r="A399" s="291"/>
      <c r="B399" s="292" t="str">
        <f>IF(LEN(A399)=0,"",INDEX('Smelter Reference List'!$A:$A,MATCH($A399,'Smelter Reference List'!$E:$E,0)))</f>
        <v/>
      </c>
      <c r="C399" s="298" t="str">
        <f>IF(LEN(A399)=0,"",INDEX('Smelter Reference List'!$C:$C,MATCH($A399,'Smelter Reference List'!$E:$E,0)))</f>
        <v/>
      </c>
      <c r="D399" s="292" t="str">
        <f ca="1">IF(ISERROR($S399),"",OFFSET('Smelter Reference List'!$C$4,$S399-4,0)&amp;"")</f>
        <v/>
      </c>
      <c r="E399" s="292" t="str">
        <f ca="1">IF(ISERROR($S399),"",OFFSET('Smelter Reference List'!$D$4,$S399-4,0)&amp;"")</f>
        <v/>
      </c>
      <c r="F399" s="292" t="str">
        <f ca="1">IF(ISERROR($S399),"",OFFSET('Smelter Reference List'!$E$4,$S399-4,0))</f>
        <v/>
      </c>
      <c r="G399" s="292" t="str">
        <f ca="1">IF(C399=$U$4,"Enter smelter details", IF(ISERROR($S399),"",OFFSET('Smelter Reference List'!$F$4,$S399-4,0)))</f>
        <v/>
      </c>
      <c r="H399" s="293" t="str">
        <f ca="1">IF(ISERROR($S399),"",OFFSET('Smelter Reference List'!$G$4,$S399-4,0))</f>
        <v/>
      </c>
      <c r="I399" s="294" t="str">
        <f ca="1">IF(ISERROR($S399),"",OFFSET('Smelter Reference List'!$H$4,$S399-4,0))</f>
        <v/>
      </c>
      <c r="J399" s="294" t="str">
        <f ca="1">IF(ISERROR($S399),"",OFFSET('Smelter Reference List'!$I$4,$S399-4,0))</f>
        <v/>
      </c>
      <c r="K399" s="295"/>
      <c r="L399" s="295"/>
      <c r="M399" s="295"/>
      <c r="N399" s="295"/>
      <c r="O399" s="295"/>
      <c r="P399" s="295"/>
      <c r="Q399" s="296"/>
      <c r="R399" s="227"/>
      <c r="S399" s="228" t="e">
        <f>IF(C399="",NA(),MATCH($B399&amp;$C399,'Smelter Reference List'!$J:$J,0))</f>
        <v>#N/A</v>
      </c>
      <c r="T399" s="229"/>
      <c r="U399" s="229">
        <f t="shared" ca="1" si="14"/>
        <v>0</v>
      </c>
      <c r="V399" s="229"/>
      <c r="W399" s="229"/>
      <c r="Y399" s="223" t="str">
        <f t="shared" si="15"/>
        <v/>
      </c>
    </row>
    <row r="400" spans="1:25" s="223" customFormat="1" ht="20.25">
      <c r="A400" s="291"/>
      <c r="B400" s="292" t="str">
        <f>IF(LEN(A400)=0,"",INDEX('Smelter Reference List'!$A:$A,MATCH($A400,'Smelter Reference List'!$E:$E,0)))</f>
        <v/>
      </c>
      <c r="C400" s="298" t="str">
        <f>IF(LEN(A400)=0,"",INDEX('Smelter Reference List'!$C:$C,MATCH($A400,'Smelter Reference List'!$E:$E,0)))</f>
        <v/>
      </c>
      <c r="D400" s="292" t="str">
        <f ca="1">IF(ISERROR($S400),"",OFFSET('Smelter Reference List'!$C$4,$S400-4,0)&amp;"")</f>
        <v/>
      </c>
      <c r="E400" s="292" t="str">
        <f ca="1">IF(ISERROR($S400),"",OFFSET('Smelter Reference List'!$D$4,$S400-4,0)&amp;"")</f>
        <v/>
      </c>
      <c r="F400" s="292" t="str">
        <f ca="1">IF(ISERROR($S400),"",OFFSET('Smelter Reference List'!$E$4,$S400-4,0))</f>
        <v/>
      </c>
      <c r="G400" s="292" t="str">
        <f ca="1">IF(C400=$U$4,"Enter smelter details", IF(ISERROR($S400),"",OFFSET('Smelter Reference List'!$F$4,$S400-4,0)))</f>
        <v/>
      </c>
      <c r="H400" s="293" t="str">
        <f ca="1">IF(ISERROR($S400),"",OFFSET('Smelter Reference List'!$G$4,$S400-4,0))</f>
        <v/>
      </c>
      <c r="I400" s="294" t="str">
        <f ca="1">IF(ISERROR($S400),"",OFFSET('Smelter Reference List'!$H$4,$S400-4,0))</f>
        <v/>
      </c>
      <c r="J400" s="294" t="str">
        <f ca="1">IF(ISERROR($S400),"",OFFSET('Smelter Reference List'!$I$4,$S400-4,0))</f>
        <v/>
      </c>
      <c r="K400" s="295"/>
      <c r="L400" s="295"/>
      <c r="M400" s="295"/>
      <c r="N400" s="295"/>
      <c r="O400" s="295"/>
      <c r="P400" s="295"/>
      <c r="Q400" s="296"/>
      <c r="R400" s="227"/>
      <c r="S400" s="228" t="e">
        <f>IF(C400="",NA(),MATCH($B400&amp;$C400,'Smelter Reference List'!$J:$J,0))</f>
        <v>#N/A</v>
      </c>
      <c r="T400" s="229"/>
      <c r="U400" s="229">
        <f t="shared" ca="1" si="14"/>
        <v>0</v>
      </c>
      <c r="V400" s="229"/>
      <c r="W400" s="229"/>
      <c r="Y400" s="223" t="str">
        <f t="shared" si="15"/>
        <v/>
      </c>
    </row>
    <row r="401" spans="1:25" s="223" customFormat="1" ht="20.25">
      <c r="A401" s="291"/>
      <c r="B401" s="292" t="str">
        <f>IF(LEN(A401)=0,"",INDEX('Smelter Reference List'!$A:$A,MATCH($A401,'Smelter Reference List'!$E:$E,0)))</f>
        <v/>
      </c>
      <c r="C401" s="298" t="str">
        <f>IF(LEN(A401)=0,"",INDEX('Smelter Reference List'!$C:$C,MATCH($A401,'Smelter Reference List'!$E:$E,0)))</f>
        <v/>
      </c>
      <c r="D401" s="292" t="str">
        <f ca="1">IF(ISERROR($S401),"",OFFSET('Smelter Reference List'!$C$4,$S401-4,0)&amp;"")</f>
        <v/>
      </c>
      <c r="E401" s="292" t="str">
        <f ca="1">IF(ISERROR($S401),"",OFFSET('Smelter Reference List'!$D$4,$S401-4,0)&amp;"")</f>
        <v/>
      </c>
      <c r="F401" s="292" t="str">
        <f ca="1">IF(ISERROR($S401),"",OFFSET('Smelter Reference List'!$E$4,$S401-4,0))</f>
        <v/>
      </c>
      <c r="G401" s="292" t="str">
        <f ca="1">IF(C401=$U$4,"Enter smelter details", IF(ISERROR($S401),"",OFFSET('Smelter Reference List'!$F$4,$S401-4,0)))</f>
        <v/>
      </c>
      <c r="H401" s="293" t="str">
        <f ca="1">IF(ISERROR($S401),"",OFFSET('Smelter Reference List'!$G$4,$S401-4,0))</f>
        <v/>
      </c>
      <c r="I401" s="294" t="str">
        <f ca="1">IF(ISERROR($S401),"",OFFSET('Smelter Reference List'!$H$4,$S401-4,0))</f>
        <v/>
      </c>
      <c r="J401" s="294" t="str">
        <f ca="1">IF(ISERROR($S401),"",OFFSET('Smelter Reference List'!$I$4,$S401-4,0))</f>
        <v/>
      </c>
      <c r="K401" s="295"/>
      <c r="L401" s="295"/>
      <c r="M401" s="295"/>
      <c r="N401" s="295"/>
      <c r="O401" s="295"/>
      <c r="P401" s="295"/>
      <c r="Q401" s="296"/>
      <c r="R401" s="227"/>
      <c r="S401" s="228" t="e">
        <f>IF(C401="",NA(),MATCH($B401&amp;$C401,'Smelter Reference List'!$J:$J,0))</f>
        <v>#N/A</v>
      </c>
      <c r="T401" s="229"/>
      <c r="U401" s="229">
        <f t="shared" ca="1" si="14"/>
        <v>0</v>
      </c>
      <c r="V401" s="229"/>
      <c r="W401" s="229"/>
      <c r="Y401" s="223" t="str">
        <f t="shared" si="15"/>
        <v/>
      </c>
    </row>
    <row r="402" spans="1:25" s="223" customFormat="1" ht="20.25">
      <c r="A402" s="291"/>
      <c r="B402" s="292" t="str">
        <f>IF(LEN(A402)=0,"",INDEX('Smelter Reference List'!$A:$A,MATCH($A402,'Smelter Reference List'!$E:$E,0)))</f>
        <v/>
      </c>
      <c r="C402" s="298" t="str">
        <f>IF(LEN(A402)=0,"",INDEX('Smelter Reference List'!$C:$C,MATCH($A402,'Smelter Reference List'!$E:$E,0)))</f>
        <v/>
      </c>
      <c r="D402" s="292" t="str">
        <f ca="1">IF(ISERROR($S402),"",OFFSET('Smelter Reference List'!$C$4,$S402-4,0)&amp;"")</f>
        <v/>
      </c>
      <c r="E402" s="292" t="str">
        <f ca="1">IF(ISERROR($S402),"",OFFSET('Smelter Reference List'!$D$4,$S402-4,0)&amp;"")</f>
        <v/>
      </c>
      <c r="F402" s="292" t="str">
        <f ca="1">IF(ISERROR($S402),"",OFFSET('Smelter Reference List'!$E$4,$S402-4,0))</f>
        <v/>
      </c>
      <c r="G402" s="292" t="str">
        <f ca="1">IF(C402=$U$4,"Enter smelter details", IF(ISERROR($S402),"",OFFSET('Smelter Reference List'!$F$4,$S402-4,0)))</f>
        <v/>
      </c>
      <c r="H402" s="293" t="str">
        <f ca="1">IF(ISERROR($S402),"",OFFSET('Smelter Reference List'!$G$4,$S402-4,0))</f>
        <v/>
      </c>
      <c r="I402" s="294" t="str">
        <f ca="1">IF(ISERROR($S402),"",OFFSET('Smelter Reference List'!$H$4,$S402-4,0))</f>
        <v/>
      </c>
      <c r="J402" s="294" t="str">
        <f ca="1">IF(ISERROR($S402),"",OFFSET('Smelter Reference List'!$I$4,$S402-4,0))</f>
        <v/>
      </c>
      <c r="K402" s="295"/>
      <c r="L402" s="295"/>
      <c r="M402" s="295"/>
      <c r="N402" s="295"/>
      <c r="O402" s="295"/>
      <c r="P402" s="295"/>
      <c r="Q402" s="296"/>
      <c r="R402" s="227"/>
      <c r="S402" s="228" t="e">
        <f>IF(C402="",NA(),MATCH($B402&amp;$C402,'Smelter Reference List'!$J:$J,0))</f>
        <v>#N/A</v>
      </c>
      <c r="T402" s="229"/>
      <c r="U402" s="229">
        <f t="shared" ca="1" si="14"/>
        <v>0</v>
      </c>
      <c r="V402" s="229"/>
      <c r="W402" s="229"/>
      <c r="Y402" s="223" t="str">
        <f t="shared" si="15"/>
        <v/>
      </c>
    </row>
    <row r="403" spans="1:25" s="223" customFormat="1" ht="20.25">
      <c r="A403" s="291"/>
      <c r="B403" s="292" t="str">
        <f>IF(LEN(A403)=0,"",INDEX('Smelter Reference List'!$A:$A,MATCH($A403,'Smelter Reference List'!$E:$E,0)))</f>
        <v/>
      </c>
      <c r="C403" s="298" t="str">
        <f>IF(LEN(A403)=0,"",INDEX('Smelter Reference List'!$C:$C,MATCH($A403,'Smelter Reference List'!$E:$E,0)))</f>
        <v/>
      </c>
      <c r="D403" s="292" t="str">
        <f ca="1">IF(ISERROR($S403),"",OFFSET('Smelter Reference List'!$C$4,$S403-4,0)&amp;"")</f>
        <v/>
      </c>
      <c r="E403" s="292" t="str">
        <f ca="1">IF(ISERROR($S403),"",OFFSET('Smelter Reference List'!$D$4,$S403-4,0)&amp;"")</f>
        <v/>
      </c>
      <c r="F403" s="292" t="str">
        <f ca="1">IF(ISERROR($S403),"",OFFSET('Smelter Reference List'!$E$4,$S403-4,0))</f>
        <v/>
      </c>
      <c r="G403" s="292" t="str">
        <f ca="1">IF(C403=$U$4,"Enter smelter details", IF(ISERROR($S403),"",OFFSET('Smelter Reference List'!$F$4,$S403-4,0)))</f>
        <v/>
      </c>
      <c r="H403" s="293" t="str">
        <f ca="1">IF(ISERROR($S403),"",OFFSET('Smelter Reference List'!$G$4,$S403-4,0))</f>
        <v/>
      </c>
      <c r="I403" s="294" t="str">
        <f ca="1">IF(ISERROR($S403),"",OFFSET('Smelter Reference List'!$H$4,$S403-4,0))</f>
        <v/>
      </c>
      <c r="J403" s="294" t="str">
        <f ca="1">IF(ISERROR($S403),"",OFFSET('Smelter Reference List'!$I$4,$S403-4,0))</f>
        <v/>
      </c>
      <c r="K403" s="295"/>
      <c r="L403" s="295"/>
      <c r="M403" s="295"/>
      <c r="N403" s="295"/>
      <c r="O403" s="295"/>
      <c r="P403" s="295"/>
      <c r="Q403" s="296"/>
      <c r="R403" s="227"/>
      <c r="S403" s="228" t="e">
        <f>IF(C403="",NA(),MATCH($B403&amp;$C403,'Smelter Reference List'!$J:$J,0))</f>
        <v>#N/A</v>
      </c>
      <c r="T403" s="229"/>
      <c r="U403" s="229">
        <f t="shared" ca="1" si="14"/>
        <v>0</v>
      </c>
      <c r="V403" s="229"/>
      <c r="W403" s="229"/>
      <c r="Y403" s="223" t="str">
        <f t="shared" si="15"/>
        <v/>
      </c>
    </row>
    <row r="404" spans="1:25" s="223" customFormat="1" ht="20.25">
      <c r="A404" s="291"/>
      <c r="B404" s="292" t="str">
        <f>IF(LEN(A404)=0,"",INDEX('Smelter Reference List'!$A:$A,MATCH($A404,'Smelter Reference List'!$E:$E,0)))</f>
        <v/>
      </c>
      <c r="C404" s="298" t="str">
        <f>IF(LEN(A404)=0,"",INDEX('Smelter Reference List'!$C:$C,MATCH($A404,'Smelter Reference List'!$E:$E,0)))</f>
        <v/>
      </c>
      <c r="D404" s="292" t="str">
        <f ca="1">IF(ISERROR($S404),"",OFFSET('Smelter Reference List'!$C$4,$S404-4,0)&amp;"")</f>
        <v/>
      </c>
      <c r="E404" s="292" t="str">
        <f ca="1">IF(ISERROR($S404),"",OFFSET('Smelter Reference List'!$D$4,$S404-4,0)&amp;"")</f>
        <v/>
      </c>
      <c r="F404" s="292" t="str">
        <f ca="1">IF(ISERROR($S404),"",OFFSET('Smelter Reference List'!$E$4,$S404-4,0))</f>
        <v/>
      </c>
      <c r="G404" s="292" t="str">
        <f ca="1">IF(C404=$U$4,"Enter smelter details", IF(ISERROR($S404),"",OFFSET('Smelter Reference List'!$F$4,$S404-4,0)))</f>
        <v/>
      </c>
      <c r="H404" s="293" t="str">
        <f ca="1">IF(ISERROR($S404),"",OFFSET('Smelter Reference List'!$G$4,$S404-4,0))</f>
        <v/>
      </c>
      <c r="I404" s="294" t="str">
        <f ca="1">IF(ISERROR($S404),"",OFFSET('Smelter Reference List'!$H$4,$S404-4,0))</f>
        <v/>
      </c>
      <c r="J404" s="294" t="str">
        <f ca="1">IF(ISERROR($S404),"",OFFSET('Smelter Reference List'!$I$4,$S404-4,0))</f>
        <v/>
      </c>
      <c r="K404" s="295"/>
      <c r="L404" s="295"/>
      <c r="M404" s="295"/>
      <c r="N404" s="295"/>
      <c r="O404" s="295"/>
      <c r="P404" s="295"/>
      <c r="Q404" s="296"/>
      <c r="R404" s="227"/>
      <c r="S404" s="228" t="e">
        <f>IF(C404="",NA(),MATCH($B404&amp;$C404,'Smelter Reference List'!$J:$J,0))</f>
        <v>#N/A</v>
      </c>
      <c r="T404" s="229"/>
      <c r="U404" s="229">
        <f t="shared" ca="1" si="14"/>
        <v>0</v>
      </c>
      <c r="V404" s="229"/>
      <c r="W404" s="229"/>
      <c r="Y404" s="223" t="str">
        <f t="shared" si="15"/>
        <v/>
      </c>
    </row>
    <row r="405" spans="1:25" s="223" customFormat="1" ht="20.25">
      <c r="A405" s="291"/>
      <c r="B405" s="292" t="str">
        <f>IF(LEN(A405)=0,"",INDEX('Smelter Reference List'!$A:$A,MATCH($A405,'Smelter Reference List'!$E:$E,0)))</f>
        <v/>
      </c>
      <c r="C405" s="298" t="str">
        <f>IF(LEN(A405)=0,"",INDEX('Smelter Reference List'!$C:$C,MATCH($A405,'Smelter Reference List'!$E:$E,0)))</f>
        <v/>
      </c>
      <c r="D405" s="292" t="str">
        <f ca="1">IF(ISERROR($S405),"",OFFSET('Smelter Reference List'!$C$4,$S405-4,0)&amp;"")</f>
        <v/>
      </c>
      <c r="E405" s="292" t="str">
        <f ca="1">IF(ISERROR($S405),"",OFFSET('Smelter Reference List'!$D$4,$S405-4,0)&amp;"")</f>
        <v/>
      </c>
      <c r="F405" s="292" t="str">
        <f ca="1">IF(ISERROR($S405),"",OFFSET('Smelter Reference List'!$E$4,$S405-4,0))</f>
        <v/>
      </c>
      <c r="G405" s="292" t="str">
        <f ca="1">IF(C405=$U$4,"Enter smelter details", IF(ISERROR($S405),"",OFFSET('Smelter Reference List'!$F$4,$S405-4,0)))</f>
        <v/>
      </c>
      <c r="H405" s="293" t="str">
        <f ca="1">IF(ISERROR($S405),"",OFFSET('Smelter Reference List'!$G$4,$S405-4,0))</f>
        <v/>
      </c>
      <c r="I405" s="294" t="str">
        <f ca="1">IF(ISERROR($S405),"",OFFSET('Smelter Reference List'!$H$4,$S405-4,0))</f>
        <v/>
      </c>
      <c r="J405" s="294" t="str">
        <f ca="1">IF(ISERROR($S405),"",OFFSET('Smelter Reference List'!$I$4,$S405-4,0))</f>
        <v/>
      </c>
      <c r="K405" s="295"/>
      <c r="L405" s="295"/>
      <c r="M405" s="295"/>
      <c r="N405" s="295"/>
      <c r="O405" s="295"/>
      <c r="P405" s="295"/>
      <c r="Q405" s="296"/>
      <c r="R405" s="227"/>
      <c r="S405" s="228" t="e">
        <f>IF(C405="",NA(),MATCH($B405&amp;$C405,'Smelter Reference List'!$J:$J,0))</f>
        <v>#N/A</v>
      </c>
      <c r="T405" s="229"/>
      <c r="U405" s="229">
        <f t="shared" ca="1" si="14"/>
        <v>0</v>
      </c>
      <c r="V405" s="229"/>
      <c r="W405" s="229"/>
      <c r="Y405" s="223" t="str">
        <f t="shared" si="15"/>
        <v/>
      </c>
    </row>
    <row r="406" spans="1:25" s="223" customFormat="1" ht="20.25">
      <c r="A406" s="291"/>
      <c r="B406" s="292" t="str">
        <f>IF(LEN(A406)=0,"",INDEX('Smelter Reference List'!$A:$A,MATCH($A406,'Smelter Reference List'!$E:$E,0)))</f>
        <v/>
      </c>
      <c r="C406" s="298" t="str">
        <f>IF(LEN(A406)=0,"",INDEX('Smelter Reference List'!$C:$C,MATCH($A406,'Smelter Reference List'!$E:$E,0)))</f>
        <v/>
      </c>
      <c r="D406" s="292" t="str">
        <f ca="1">IF(ISERROR($S406),"",OFFSET('Smelter Reference List'!$C$4,$S406-4,0)&amp;"")</f>
        <v/>
      </c>
      <c r="E406" s="292" t="str">
        <f ca="1">IF(ISERROR($S406),"",OFFSET('Smelter Reference List'!$D$4,$S406-4,0)&amp;"")</f>
        <v/>
      </c>
      <c r="F406" s="292" t="str">
        <f ca="1">IF(ISERROR($S406),"",OFFSET('Smelter Reference List'!$E$4,$S406-4,0))</f>
        <v/>
      </c>
      <c r="G406" s="292" t="str">
        <f ca="1">IF(C406=$U$4,"Enter smelter details", IF(ISERROR($S406),"",OFFSET('Smelter Reference List'!$F$4,$S406-4,0)))</f>
        <v/>
      </c>
      <c r="H406" s="293" t="str">
        <f ca="1">IF(ISERROR($S406),"",OFFSET('Smelter Reference List'!$G$4,$S406-4,0))</f>
        <v/>
      </c>
      <c r="I406" s="294" t="str">
        <f ca="1">IF(ISERROR($S406),"",OFFSET('Smelter Reference List'!$H$4,$S406-4,0))</f>
        <v/>
      </c>
      <c r="J406" s="294" t="str">
        <f ca="1">IF(ISERROR($S406),"",OFFSET('Smelter Reference List'!$I$4,$S406-4,0))</f>
        <v/>
      </c>
      <c r="K406" s="295"/>
      <c r="L406" s="295"/>
      <c r="M406" s="295"/>
      <c r="N406" s="295"/>
      <c r="O406" s="295"/>
      <c r="P406" s="295"/>
      <c r="Q406" s="296"/>
      <c r="R406" s="227"/>
      <c r="S406" s="228" t="e">
        <f>IF(C406="",NA(),MATCH($B406&amp;$C406,'Smelter Reference List'!$J:$J,0))</f>
        <v>#N/A</v>
      </c>
      <c r="T406" s="229"/>
      <c r="U406" s="229">
        <f t="shared" ca="1" si="14"/>
        <v>0</v>
      </c>
      <c r="V406" s="229"/>
      <c r="W406" s="229"/>
      <c r="Y406" s="223" t="str">
        <f t="shared" si="15"/>
        <v/>
      </c>
    </row>
    <row r="407" spans="1:25" s="223" customFormat="1" ht="20.25">
      <c r="A407" s="291"/>
      <c r="B407" s="292" t="str">
        <f>IF(LEN(A407)=0,"",INDEX('Smelter Reference List'!$A:$A,MATCH($A407,'Smelter Reference List'!$E:$E,0)))</f>
        <v/>
      </c>
      <c r="C407" s="298" t="str">
        <f>IF(LEN(A407)=0,"",INDEX('Smelter Reference List'!$C:$C,MATCH($A407,'Smelter Reference List'!$E:$E,0)))</f>
        <v/>
      </c>
      <c r="D407" s="292" t="str">
        <f ca="1">IF(ISERROR($S407),"",OFFSET('Smelter Reference List'!$C$4,$S407-4,0)&amp;"")</f>
        <v/>
      </c>
      <c r="E407" s="292" t="str">
        <f ca="1">IF(ISERROR($S407),"",OFFSET('Smelter Reference List'!$D$4,$S407-4,0)&amp;"")</f>
        <v/>
      </c>
      <c r="F407" s="292" t="str">
        <f ca="1">IF(ISERROR($S407),"",OFFSET('Smelter Reference List'!$E$4,$S407-4,0))</f>
        <v/>
      </c>
      <c r="G407" s="292" t="str">
        <f ca="1">IF(C407=$U$4,"Enter smelter details", IF(ISERROR($S407),"",OFFSET('Smelter Reference List'!$F$4,$S407-4,0)))</f>
        <v/>
      </c>
      <c r="H407" s="293" t="str">
        <f ca="1">IF(ISERROR($S407),"",OFFSET('Smelter Reference List'!$G$4,$S407-4,0))</f>
        <v/>
      </c>
      <c r="I407" s="294" t="str">
        <f ca="1">IF(ISERROR($S407),"",OFFSET('Smelter Reference List'!$H$4,$S407-4,0))</f>
        <v/>
      </c>
      <c r="J407" s="294" t="str">
        <f ca="1">IF(ISERROR($S407),"",OFFSET('Smelter Reference List'!$I$4,$S407-4,0))</f>
        <v/>
      </c>
      <c r="K407" s="295"/>
      <c r="L407" s="295"/>
      <c r="M407" s="295"/>
      <c r="N407" s="295"/>
      <c r="O407" s="295"/>
      <c r="P407" s="295"/>
      <c r="Q407" s="296"/>
      <c r="R407" s="227"/>
      <c r="S407" s="228" t="e">
        <f>IF(C407="",NA(),MATCH($B407&amp;$C407,'Smelter Reference List'!$J:$J,0))</f>
        <v>#N/A</v>
      </c>
      <c r="T407" s="229"/>
      <c r="U407" s="229">
        <f t="shared" ca="1" si="14"/>
        <v>0</v>
      </c>
      <c r="V407" s="229"/>
      <c r="W407" s="229"/>
      <c r="Y407" s="223" t="str">
        <f t="shared" si="15"/>
        <v/>
      </c>
    </row>
    <row r="408" spans="1:25" s="223" customFormat="1" ht="20.25">
      <c r="A408" s="291"/>
      <c r="B408" s="292" t="str">
        <f>IF(LEN(A408)=0,"",INDEX('Smelter Reference List'!$A:$A,MATCH($A408,'Smelter Reference List'!$E:$E,0)))</f>
        <v/>
      </c>
      <c r="C408" s="298" t="str">
        <f>IF(LEN(A408)=0,"",INDEX('Smelter Reference List'!$C:$C,MATCH($A408,'Smelter Reference List'!$E:$E,0)))</f>
        <v/>
      </c>
      <c r="D408" s="292" t="str">
        <f ca="1">IF(ISERROR($S408),"",OFFSET('Smelter Reference List'!$C$4,$S408-4,0)&amp;"")</f>
        <v/>
      </c>
      <c r="E408" s="292" t="str">
        <f ca="1">IF(ISERROR($S408),"",OFFSET('Smelter Reference List'!$D$4,$S408-4,0)&amp;"")</f>
        <v/>
      </c>
      <c r="F408" s="292" t="str">
        <f ca="1">IF(ISERROR($S408),"",OFFSET('Smelter Reference List'!$E$4,$S408-4,0))</f>
        <v/>
      </c>
      <c r="G408" s="292" t="str">
        <f ca="1">IF(C408=$U$4,"Enter smelter details", IF(ISERROR($S408),"",OFFSET('Smelter Reference List'!$F$4,$S408-4,0)))</f>
        <v/>
      </c>
      <c r="H408" s="293" t="str">
        <f ca="1">IF(ISERROR($S408),"",OFFSET('Smelter Reference List'!$G$4,$S408-4,0))</f>
        <v/>
      </c>
      <c r="I408" s="294" t="str">
        <f ca="1">IF(ISERROR($S408),"",OFFSET('Smelter Reference List'!$H$4,$S408-4,0))</f>
        <v/>
      </c>
      <c r="J408" s="294" t="str">
        <f ca="1">IF(ISERROR($S408),"",OFFSET('Smelter Reference List'!$I$4,$S408-4,0))</f>
        <v/>
      </c>
      <c r="K408" s="295"/>
      <c r="L408" s="295"/>
      <c r="M408" s="295"/>
      <c r="N408" s="295"/>
      <c r="O408" s="295"/>
      <c r="P408" s="295"/>
      <c r="Q408" s="296"/>
      <c r="R408" s="227"/>
      <c r="S408" s="228" t="e">
        <f>IF(C408="",NA(),MATCH($B408&amp;$C408,'Smelter Reference List'!$J:$J,0))</f>
        <v>#N/A</v>
      </c>
      <c r="T408" s="229"/>
      <c r="U408" s="229">
        <f t="shared" ca="1" si="14"/>
        <v>0</v>
      </c>
      <c r="V408" s="229"/>
      <c r="W408" s="229"/>
      <c r="Y408" s="223" t="str">
        <f t="shared" si="15"/>
        <v/>
      </c>
    </row>
    <row r="409" spans="1:25" s="223" customFormat="1" ht="20.25">
      <c r="A409" s="291"/>
      <c r="B409" s="292" t="str">
        <f>IF(LEN(A409)=0,"",INDEX('Smelter Reference List'!$A:$A,MATCH($A409,'Smelter Reference List'!$E:$E,0)))</f>
        <v/>
      </c>
      <c r="C409" s="298" t="str">
        <f>IF(LEN(A409)=0,"",INDEX('Smelter Reference List'!$C:$C,MATCH($A409,'Smelter Reference List'!$E:$E,0)))</f>
        <v/>
      </c>
      <c r="D409" s="292" t="str">
        <f ca="1">IF(ISERROR($S409),"",OFFSET('Smelter Reference List'!$C$4,$S409-4,0)&amp;"")</f>
        <v/>
      </c>
      <c r="E409" s="292" t="str">
        <f ca="1">IF(ISERROR($S409),"",OFFSET('Smelter Reference List'!$D$4,$S409-4,0)&amp;"")</f>
        <v/>
      </c>
      <c r="F409" s="292" t="str">
        <f ca="1">IF(ISERROR($S409),"",OFFSET('Smelter Reference List'!$E$4,$S409-4,0))</f>
        <v/>
      </c>
      <c r="G409" s="292" t="str">
        <f ca="1">IF(C409=$U$4,"Enter smelter details", IF(ISERROR($S409),"",OFFSET('Smelter Reference List'!$F$4,$S409-4,0)))</f>
        <v/>
      </c>
      <c r="H409" s="293" t="str">
        <f ca="1">IF(ISERROR($S409),"",OFFSET('Smelter Reference List'!$G$4,$S409-4,0))</f>
        <v/>
      </c>
      <c r="I409" s="294" t="str">
        <f ca="1">IF(ISERROR($S409),"",OFFSET('Smelter Reference List'!$H$4,$S409-4,0))</f>
        <v/>
      </c>
      <c r="J409" s="294" t="str">
        <f ca="1">IF(ISERROR($S409),"",OFFSET('Smelter Reference List'!$I$4,$S409-4,0))</f>
        <v/>
      </c>
      <c r="K409" s="295"/>
      <c r="L409" s="295"/>
      <c r="M409" s="295"/>
      <c r="N409" s="295"/>
      <c r="O409" s="295"/>
      <c r="P409" s="295"/>
      <c r="Q409" s="296"/>
      <c r="R409" s="227"/>
      <c r="S409" s="228" t="e">
        <f>IF(C409="",NA(),MATCH($B409&amp;$C409,'Smelter Reference List'!$J:$J,0))</f>
        <v>#N/A</v>
      </c>
      <c r="T409" s="229"/>
      <c r="U409" s="229">
        <f t="shared" ca="1" si="14"/>
        <v>0</v>
      </c>
      <c r="V409" s="229"/>
      <c r="W409" s="229"/>
      <c r="Y409" s="223" t="str">
        <f t="shared" si="15"/>
        <v/>
      </c>
    </row>
    <row r="410" spans="1:25" s="223" customFormat="1" ht="20.25">
      <c r="A410" s="291"/>
      <c r="B410" s="292" t="str">
        <f>IF(LEN(A410)=0,"",INDEX('Smelter Reference List'!$A:$A,MATCH($A410,'Smelter Reference List'!$E:$E,0)))</f>
        <v/>
      </c>
      <c r="C410" s="298" t="str">
        <f>IF(LEN(A410)=0,"",INDEX('Smelter Reference List'!$C:$C,MATCH($A410,'Smelter Reference List'!$E:$E,0)))</f>
        <v/>
      </c>
      <c r="D410" s="292" t="str">
        <f ca="1">IF(ISERROR($S410),"",OFFSET('Smelter Reference List'!$C$4,$S410-4,0)&amp;"")</f>
        <v/>
      </c>
      <c r="E410" s="292" t="str">
        <f ca="1">IF(ISERROR($S410),"",OFFSET('Smelter Reference List'!$D$4,$S410-4,0)&amp;"")</f>
        <v/>
      </c>
      <c r="F410" s="292" t="str">
        <f ca="1">IF(ISERROR($S410),"",OFFSET('Smelter Reference List'!$E$4,$S410-4,0))</f>
        <v/>
      </c>
      <c r="G410" s="292" t="str">
        <f ca="1">IF(C410=$U$4,"Enter smelter details", IF(ISERROR($S410),"",OFFSET('Smelter Reference List'!$F$4,$S410-4,0)))</f>
        <v/>
      </c>
      <c r="H410" s="293" t="str">
        <f ca="1">IF(ISERROR($S410),"",OFFSET('Smelter Reference List'!$G$4,$S410-4,0))</f>
        <v/>
      </c>
      <c r="I410" s="294" t="str">
        <f ca="1">IF(ISERROR($S410),"",OFFSET('Smelter Reference List'!$H$4,$S410-4,0))</f>
        <v/>
      </c>
      <c r="J410" s="294" t="str">
        <f ca="1">IF(ISERROR($S410),"",OFFSET('Smelter Reference List'!$I$4,$S410-4,0))</f>
        <v/>
      </c>
      <c r="K410" s="295"/>
      <c r="L410" s="295"/>
      <c r="M410" s="295"/>
      <c r="N410" s="295"/>
      <c r="O410" s="295"/>
      <c r="P410" s="295"/>
      <c r="Q410" s="296"/>
      <c r="R410" s="227"/>
      <c r="S410" s="228" t="e">
        <f>IF(C410="",NA(),MATCH($B410&amp;$C410,'Smelter Reference List'!$J:$J,0))</f>
        <v>#N/A</v>
      </c>
      <c r="T410" s="229"/>
      <c r="U410" s="229">
        <f t="shared" ca="1" si="14"/>
        <v>0</v>
      </c>
      <c r="V410" s="229"/>
      <c r="W410" s="229"/>
      <c r="Y410" s="223" t="str">
        <f t="shared" si="15"/>
        <v/>
      </c>
    </row>
    <row r="411" spans="1:25" s="223" customFormat="1" ht="20.25">
      <c r="A411" s="291"/>
      <c r="B411" s="292" t="str">
        <f>IF(LEN(A411)=0,"",INDEX('Smelter Reference List'!$A:$A,MATCH($A411,'Smelter Reference List'!$E:$E,0)))</f>
        <v/>
      </c>
      <c r="C411" s="298" t="str">
        <f>IF(LEN(A411)=0,"",INDEX('Smelter Reference List'!$C:$C,MATCH($A411,'Smelter Reference List'!$E:$E,0)))</f>
        <v/>
      </c>
      <c r="D411" s="292" t="str">
        <f ca="1">IF(ISERROR($S411),"",OFFSET('Smelter Reference List'!$C$4,$S411-4,0)&amp;"")</f>
        <v/>
      </c>
      <c r="E411" s="292" t="str">
        <f ca="1">IF(ISERROR($S411),"",OFFSET('Smelter Reference List'!$D$4,$S411-4,0)&amp;"")</f>
        <v/>
      </c>
      <c r="F411" s="292" t="str">
        <f ca="1">IF(ISERROR($S411),"",OFFSET('Smelter Reference List'!$E$4,$S411-4,0))</f>
        <v/>
      </c>
      <c r="G411" s="292" t="str">
        <f ca="1">IF(C411=$U$4,"Enter smelter details", IF(ISERROR($S411),"",OFFSET('Smelter Reference List'!$F$4,$S411-4,0)))</f>
        <v/>
      </c>
      <c r="H411" s="293" t="str">
        <f ca="1">IF(ISERROR($S411),"",OFFSET('Smelter Reference List'!$G$4,$S411-4,0))</f>
        <v/>
      </c>
      <c r="I411" s="294" t="str">
        <f ca="1">IF(ISERROR($S411),"",OFFSET('Smelter Reference List'!$H$4,$S411-4,0))</f>
        <v/>
      </c>
      <c r="J411" s="294" t="str">
        <f ca="1">IF(ISERROR($S411),"",OFFSET('Smelter Reference List'!$I$4,$S411-4,0))</f>
        <v/>
      </c>
      <c r="K411" s="295"/>
      <c r="L411" s="295"/>
      <c r="M411" s="295"/>
      <c r="N411" s="295"/>
      <c r="O411" s="295"/>
      <c r="P411" s="295"/>
      <c r="Q411" s="296"/>
      <c r="R411" s="227"/>
      <c r="S411" s="228" t="e">
        <f>IF(C411="",NA(),MATCH($B411&amp;$C411,'Smelter Reference List'!$J:$J,0))</f>
        <v>#N/A</v>
      </c>
      <c r="T411" s="229"/>
      <c r="U411" s="229">
        <f t="shared" ca="1" si="14"/>
        <v>0</v>
      </c>
      <c r="V411" s="229"/>
      <c r="W411" s="229"/>
      <c r="Y411" s="223" t="str">
        <f t="shared" si="15"/>
        <v/>
      </c>
    </row>
    <row r="412" spans="1:25" s="223" customFormat="1" ht="20.25">
      <c r="A412" s="291"/>
      <c r="B412" s="292" t="str">
        <f>IF(LEN(A412)=0,"",INDEX('Smelter Reference List'!$A:$A,MATCH($A412,'Smelter Reference List'!$E:$E,0)))</f>
        <v/>
      </c>
      <c r="C412" s="298" t="str">
        <f>IF(LEN(A412)=0,"",INDEX('Smelter Reference List'!$C:$C,MATCH($A412,'Smelter Reference List'!$E:$E,0)))</f>
        <v/>
      </c>
      <c r="D412" s="292" t="str">
        <f ca="1">IF(ISERROR($S412),"",OFFSET('Smelter Reference List'!$C$4,$S412-4,0)&amp;"")</f>
        <v/>
      </c>
      <c r="E412" s="292" t="str">
        <f ca="1">IF(ISERROR($S412),"",OFFSET('Smelter Reference List'!$D$4,$S412-4,0)&amp;"")</f>
        <v/>
      </c>
      <c r="F412" s="292" t="str">
        <f ca="1">IF(ISERROR($S412),"",OFFSET('Smelter Reference List'!$E$4,$S412-4,0))</f>
        <v/>
      </c>
      <c r="G412" s="292" t="str">
        <f ca="1">IF(C412=$U$4,"Enter smelter details", IF(ISERROR($S412),"",OFFSET('Smelter Reference List'!$F$4,$S412-4,0)))</f>
        <v/>
      </c>
      <c r="H412" s="293" t="str">
        <f ca="1">IF(ISERROR($S412),"",OFFSET('Smelter Reference List'!$G$4,$S412-4,0))</f>
        <v/>
      </c>
      <c r="I412" s="294" t="str">
        <f ca="1">IF(ISERROR($S412),"",OFFSET('Smelter Reference List'!$H$4,$S412-4,0))</f>
        <v/>
      </c>
      <c r="J412" s="294" t="str">
        <f ca="1">IF(ISERROR($S412),"",OFFSET('Smelter Reference List'!$I$4,$S412-4,0))</f>
        <v/>
      </c>
      <c r="K412" s="295"/>
      <c r="L412" s="295"/>
      <c r="M412" s="295"/>
      <c r="N412" s="295"/>
      <c r="O412" s="295"/>
      <c r="P412" s="295"/>
      <c r="Q412" s="296"/>
      <c r="R412" s="227"/>
      <c r="S412" s="228" t="e">
        <f>IF(C412="",NA(),MATCH($B412&amp;$C412,'Smelter Reference List'!$J:$J,0))</f>
        <v>#N/A</v>
      </c>
      <c r="T412" s="229"/>
      <c r="U412" s="229">
        <f t="shared" ca="1" si="14"/>
        <v>0</v>
      </c>
      <c r="V412" s="229"/>
      <c r="W412" s="229"/>
      <c r="Y412" s="223" t="str">
        <f t="shared" si="15"/>
        <v/>
      </c>
    </row>
    <row r="413" spans="1:25" s="223" customFormat="1" ht="20.25">
      <c r="A413" s="291"/>
      <c r="B413" s="292" t="str">
        <f>IF(LEN(A413)=0,"",INDEX('Smelter Reference List'!$A:$A,MATCH($A413,'Smelter Reference List'!$E:$E,0)))</f>
        <v/>
      </c>
      <c r="C413" s="298" t="str">
        <f>IF(LEN(A413)=0,"",INDEX('Smelter Reference List'!$C:$C,MATCH($A413,'Smelter Reference List'!$E:$E,0)))</f>
        <v/>
      </c>
      <c r="D413" s="292" t="str">
        <f ca="1">IF(ISERROR($S413),"",OFFSET('Smelter Reference List'!$C$4,$S413-4,0)&amp;"")</f>
        <v/>
      </c>
      <c r="E413" s="292" t="str">
        <f ca="1">IF(ISERROR($S413),"",OFFSET('Smelter Reference List'!$D$4,$S413-4,0)&amp;"")</f>
        <v/>
      </c>
      <c r="F413" s="292" t="str">
        <f ca="1">IF(ISERROR($S413),"",OFFSET('Smelter Reference List'!$E$4,$S413-4,0))</f>
        <v/>
      </c>
      <c r="G413" s="292" t="str">
        <f ca="1">IF(C413=$U$4,"Enter smelter details", IF(ISERROR($S413),"",OFFSET('Smelter Reference List'!$F$4,$S413-4,0)))</f>
        <v/>
      </c>
      <c r="H413" s="293" t="str">
        <f ca="1">IF(ISERROR($S413),"",OFFSET('Smelter Reference List'!$G$4,$S413-4,0))</f>
        <v/>
      </c>
      <c r="I413" s="294" t="str">
        <f ca="1">IF(ISERROR($S413),"",OFFSET('Smelter Reference List'!$H$4,$S413-4,0))</f>
        <v/>
      </c>
      <c r="J413" s="294" t="str">
        <f ca="1">IF(ISERROR($S413),"",OFFSET('Smelter Reference List'!$I$4,$S413-4,0))</f>
        <v/>
      </c>
      <c r="K413" s="295"/>
      <c r="L413" s="295"/>
      <c r="M413" s="295"/>
      <c r="N413" s="295"/>
      <c r="O413" s="295"/>
      <c r="P413" s="295"/>
      <c r="Q413" s="296"/>
      <c r="R413" s="227"/>
      <c r="S413" s="228" t="e">
        <f>IF(C413="",NA(),MATCH($B413&amp;$C413,'Smelter Reference List'!$J:$J,0))</f>
        <v>#N/A</v>
      </c>
      <c r="T413" s="229"/>
      <c r="U413" s="229">
        <f t="shared" ca="1" si="14"/>
        <v>0</v>
      </c>
      <c r="V413" s="229"/>
      <c r="W413" s="229"/>
      <c r="Y413" s="223" t="str">
        <f t="shared" si="15"/>
        <v/>
      </c>
    </row>
    <row r="414" spans="1:25" s="223" customFormat="1" ht="20.25">
      <c r="A414" s="291"/>
      <c r="B414" s="292" t="str">
        <f>IF(LEN(A414)=0,"",INDEX('Smelter Reference List'!$A:$A,MATCH($A414,'Smelter Reference List'!$E:$E,0)))</f>
        <v/>
      </c>
      <c r="C414" s="298" t="str">
        <f>IF(LEN(A414)=0,"",INDEX('Smelter Reference List'!$C:$C,MATCH($A414,'Smelter Reference List'!$E:$E,0)))</f>
        <v/>
      </c>
      <c r="D414" s="292" t="str">
        <f ca="1">IF(ISERROR($S414),"",OFFSET('Smelter Reference List'!$C$4,$S414-4,0)&amp;"")</f>
        <v/>
      </c>
      <c r="E414" s="292" t="str">
        <f ca="1">IF(ISERROR($S414),"",OFFSET('Smelter Reference List'!$D$4,$S414-4,0)&amp;"")</f>
        <v/>
      </c>
      <c r="F414" s="292" t="str">
        <f ca="1">IF(ISERROR($S414),"",OFFSET('Smelter Reference List'!$E$4,$S414-4,0))</f>
        <v/>
      </c>
      <c r="G414" s="292" t="str">
        <f ca="1">IF(C414=$U$4,"Enter smelter details", IF(ISERROR($S414),"",OFFSET('Smelter Reference List'!$F$4,$S414-4,0)))</f>
        <v/>
      </c>
      <c r="H414" s="293" t="str">
        <f ca="1">IF(ISERROR($S414),"",OFFSET('Smelter Reference List'!$G$4,$S414-4,0))</f>
        <v/>
      </c>
      <c r="I414" s="294" t="str">
        <f ca="1">IF(ISERROR($S414),"",OFFSET('Smelter Reference List'!$H$4,$S414-4,0))</f>
        <v/>
      </c>
      <c r="J414" s="294" t="str">
        <f ca="1">IF(ISERROR($S414),"",OFFSET('Smelter Reference List'!$I$4,$S414-4,0))</f>
        <v/>
      </c>
      <c r="K414" s="295"/>
      <c r="L414" s="295"/>
      <c r="M414" s="295"/>
      <c r="N414" s="295"/>
      <c r="O414" s="295"/>
      <c r="P414" s="295"/>
      <c r="Q414" s="296"/>
      <c r="R414" s="227"/>
      <c r="S414" s="228" t="e">
        <f>IF(C414="",NA(),MATCH($B414&amp;$C414,'Smelter Reference List'!$J:$J,0))</f>
        <v>#N/A</v>
      </c>
      <c r="T414" s="229"/>
      <c r="U414" s="229">
        <f t="shared" ca="1" si="14"/>
        <v>0</v>
      </c>
      <c r="V414" s="229"/>
      <c r="W414" s="229"/>
      <c r="Y414" s="223" t="str">
        <f t="shared" si="15"/>
        <v/>
      </c>
    </row>
    <row r="415" spans="1:25" s="223" customFormat="1" ht="20.25">
      <c r="A415" s="291"/>
      <c r="B415" s="292" t="str">
        <f>IF(LEN(A415)=0,"",INDEX('Smelter Reference List'!$A:$A,MATCH($A415,'Smelter Reference List'!$E:$E,0)))</f>
        <v/>
      </c>
      <c r="C415" s="298" t="str">
        <f>IF(LEN(A415)=0,"",INDEX('Smelter Reference List'!$C:$C,MATCH($A415,'Smelter Reference List'!$E:$E,0)))</f>
        <v/>
      </c>
      <c r="D415" s="292" t="str">
        <f ca="1">IF(ISERROR($S415),"",OFFSET('Smelter Reference List'!$C$4,$S415-4,0)&amp;"")</f>
        <v/>
      </c>
      <c r="E415" s="292" t="str">
        <f ca="1">IF(ISERROR($S415),"",OFFSET('Smelter Reference List'!$D$4,$S415-4,0)&amp;"")</f>
        <v/>
      </c>
      <c r="F415" s="292" t="str">
        <f ca="1">IF(ISERROR($S415),"",OFFSET('Smelter Reference List'!$E$4,$S415-4,0))</f>
        <v/>
      </c>
      <c r="G415" s="292" t="str">
        <f ca="1">IF(C415=$U$4,"Enter smelter details", IF(ISERROR($S415),"",OFFSET('Smelter Reference List'!$F$4,$S415-4,0)))</f>
        <v/>
      </c>
      <c r="H415" s="293" t="str">
        <f ca="1">IF(ISERROR($S415),"",OFFSET('Smelter Reference List'!$G$4,$S415-4,0))</f>
        <v/>
      </c>
      <c r="I415" s="294" t="str">
        <f ca="1">IF(ISERROR($S415),"",OFFSET('Smelter Reference List'!$H$4,$S415-4,0))</f>
        <v/>
      </c>
      <c r="J415" s="294" t="str">
        <f ca="1">IF(ISERROR($S415),"",OFFSET('Smelter Reference List'!$I$4,$S415-4,0))</f>
        <v/>
      </c>
      <c r="K415" s="295"/>
      <c r="L415" s="295"/>
      <c r="M415" s="295"/>
      <c r="N415" s="295"/>
      <c r="O415" s="295"/>
      <c r="P415" s="295"/>
      <c r="Q415" s="296"/>
      <c r="R415" s="227"/>
      <c r="S415" s="228" t="e">
        <f>IF(C415="",NA(),MATCH($B415&amp;$C415,'Smelter Reference List'!$J:$J,0))</f>
        <v>#N/A</v>
      </c>
      <c r="T415" s="229"/>
      <c r="U415" s="229">
        <f t="shared" ca="1" si="14"/>
        <v>0</v>
      </c>
      <c r="V415" s="229"/>
      <c r="W415" s="229"/>
      <c r="Y415" s="223" t="str">
        <f t="shared" si="15"/>
        <v/>
      </c>
    </row>
    <row r="416" spans="1:25" s="223" customFormat="1" ht="20.25">
      <c r="A416" s="291"/>
      <c r="B416" s="292" t="str">
        <f>IF(LEN(A416)=0,"",INDEX('Smelter Reference List'!$A:$A,MATCH($A416,'Smelter Reference List'!$E:$E,0)))</f>
        <v/>
      </c>
      <c r="C416" s="298" t="str">
        <f>IF(LEN(A416)=0,"",INDEX('Smelter Reference List'!$C:$C,MATCH($A416,'Smelter Reference List'!$E:$E,0)))</f>
        <v/>
      </c>
      <c r="D416" s="292" t="str">
        <f ca="1">IF(ISERROR($S416),"",OFFSET('Smelter Reference List'!$C$4,$S416-4,0)&amp;"")</f>
        <v/>
      </c>
      <c r="E416" s="292" t="str">
        <f ca="1">IF(ISERROR($S416),"",OFFSET('Smelter Reference List'!$D$4,$S416-4,0)&amp;"")</f>
        <v/>
      </c>
      <c r="F416" s="292" t="str">
        <f ca="1">IF(ISERROR($S416),"",OFFSET('Smelter Reference List'!$E$4,$S416-4,0))</f>
        <v/>
      </c>
      <c r="G416" s="292" t="str">
        <f ca="1">IF(C416=$U$4,"Enter smelter details", IF(ISERROR($S416),"",OFFSET('Smelter Reference List'!$F$4,$S416-4,0)))</f>
        <v/>
      </c>
      <c r="H416" s="293" t="str">
        <f ca="1">IF(ISERROR($S416),"",OFFSET('Smelter Reference List'!$G$4,$S416-4,0))</f>
        <v/>
      </c>
      <c r="I416" s="294" t="str">
        <f ca="1">IF(ISERROR($S416),"",OFFSET('Smelter Reference List'!$H$4,$S416-4,0))</f>
        <v/>
      </c>
      <c r="J416" s="294" t="str">
        <f ca="1">IF(ISERROR($S416),"",OFFSET('Smelter Reference List'!$I$4,$S416-4,0))</f>
        <v/>
      </c>
      <c r="K416" s="295"/>
      <c r="L416" s="295"/>
      <c r="M416" s="295"/>
      <c r="N416" s="295"/>
      <c r="O416" s="295"/>
      <c r="P416" s="295"/>
      <c r="Q416" s="296"/>
      <c r="R416" s="227"/>
      <c r="S416" s="228" t="e">
        <f>IF(C416="",NA(),MATCH($B416&amp;$C416,'Smelter Reference List'!$J:$J,0))</f>
        <v>#N/A</v>
      </c>
      <c r="T416" s="229"/>
      <c r="U416" s="229">
        <f t="shared" ca="1" si="14"/>
        <v>0</v>
      </c>
      <c r="V416" s="229"/>
      <c r="W416" s="229"/>
      <c r="Y416" s="223" t="str">
        <f t="shared" si="15"/>
        <v/>
      </c>
    </row>
    <row r="417" spans="1:25" s="223" customFormat="1" ht="20.25">
      <c r="A417" s="291"/>
      <c r="B417" s="292" t="str">
        <f>IF(LEN(A417)=0,"",INDEX('Smelter Reference List'!$A:$A,MATCH($A417,'Smelter Reference List'!$E:$E,0)))</f>
        <v/>
      </c>
      <c r="C417" s="298" t="str">
        <f>IF(LEN(A417)=0,"",INDEX('Smelter Reference List'!$C:$C,MATCH($A417,'Smelter Reference List'!$E:$E,0)))</f>
        <v/>
      </c>
      <c r="D417" s="292" t="str">
        <f ca="1">IF(ISERROR($S417),"",OFFSET('Smelter Reference List'!$C$4,$S417-4,0)&amp;"")</f>
        <v/>
      </c>
      <c r="E417" s="292" t="str">
        <f ca="1">IF(ISERROR($S417),"",OFFSET('Smelter Reference List'!$D$4,$S417-4,0)&amp;"")</f>
        <v/>
      </c>
      <c r="F417" s="292" t="str">
        <f ca="1">IF(ISERROR($S417),"",OFFSET('Smelter Reference List'!$E$4,$S417-4,0))</f>
        <v/>
      </c>
      <c r="G417" s="292" t="str">
        <f ca="1">IF(C417=$U$4,"Enter smelter details", IF(ISERROR($S417),"",OFFSET('Smelter Reference List'!$F$4,$S417-4,0)))</f>
        <v/>
      </c>
      <c r="H417" s="293" t="str">
        <f ca="1">IF(ISERROR($S417),"",OFFSET('Smelter Reference List'!$G$4,$S417-4,0))</f>
        <v/>
      </c>
      <c r="I417" s="294" t="str">
        <f ca="1">IF(ISERROR($S417),"",OFFSET('Smelter Reference List'!$H$4,$S417-4,0))</f>
        <v/>
      </c>
      <c r="J417" s="294" t="str">
        <f ca="1">IF(ISERROR($S417),"",OFFSET('Smelter Reference List'!$I$4,$S417-4,0))</f>
        <v/>
      </c>
      <c r="K417" s="295"/>
      <c r="L417" s="295"/>
      <c r="M417" s="295"/>
      <c r="N417" s="295"/>
      <c r="O417" s="295"/>
      <c r="P417" s="295"/>
      <c r="Q417" s="296"/>
      <c r="R417" s="227"/>
      <c r="S417" s="228" t="e">
        <f>IF(C417="",NA(),MATCH($B417&amp;$C417,'Smelter Reference List'!$J:$J,0))</f>
        <v>#N/A</v>
      </c>
      <c r="T417" s="229"/>
      <c r="U417" s="229">
        <f t="shared" ca="1" si="14"/>
        <v>0</v>
      </c>
      <c r="V417" s="229"/>
      <c r="W417" s="229"/>
      <c r="Y417" s="223" t="str">
        <f t="shared" si="15"/>
        <v/>
      </c>
    </row>
    <row r="418" spans="1:25" s="223" customFormat="1" ht="20.25">
      <c r="A418" s="291"/>
      <c r="B418" s="292" t="str">
        <f>IF(LEN(A418)=0,"",INDEX('Smelter Reference List'!$A:$A,MATCH($A418,'Smelter Reference List'!$E:$E,0)))</f>
        <v/>
      </c>
      <c r="C418" s="298" t="str">
        <f>IF(LEN(A418)=0,"",INDEX('Smelter Reference List'!$C:$C,MATCH($A418,'Smelter Reference List'!$E:$E,0)))</f>
        <v/>
      </c>
      <c r="D418" s="292" t="str">
        <f ca="1">IF(ISERROR($S418),"",OFFSET('Smelter Reference List'!$C$4,$S418-4,0)&amp;"")</f>
        <v/>
      </c>
      <c r="E418" s="292" t="str">
        <f ca="1">IF(ISERROR($S418),"",OFFSET('Smelter Reference List'!$D$4,$S418-4,0)&amp;"")</f>
        <v/>
      </c>
      <c r="F418" s="292" t="str">
        <f ca="1">IF(ISERROR($S418),"",OFFSET('Smelter Reference List'!$E$4,$S418-4,0))</f>
        <v/>
      </c>
      <c r="G418" s="292" t="str">
        <f ca="1">IF(C418=$U$4,"Enter smelter details", IF(ISERROR($S418),"",OFFSET('Smelter Reference List'!$F$4,$S418-4,0)))</f>
        <v/>
      </c>
      <c r="H418" s="293" t="str">
        <f ca="1">IF(ISERROR($S418),"",OFFSET('Smelter Reference List'!$G$4,$S418-4,0))</f>
        <v/>
      </c>
      <c r="I418" s="294" t="str">
        <f ca="1">IF(ISERROR($S418),"",OFFSET('Smelter Reference List'!$H$4,$S418-4,0))</f>
        <v/>
      </c>
      <c r="J418" s="294" t="str">
        <f ca="1">IF(ISERROR($S418),"",OFFSET('Smelter Reference List'!$I$4,$S418-4,0))</f>
        <v/>
      </c>
      <c r="K418" s="295"/>
      <c r="L418" s="295"/>
      <c r="M418" s="295"/>
      <c r="N418" s="295"/>
      <c r="O418" s="295"/>
      <c r="P418" s="295"/>
      <c r="Q418" s="296"/>
      <c r="R418" s="227"/>
      <c r="S418" s="228" t="e">
        <f>IF(C418="",NA(),MATCH($B418&amp;$C418,'Smelter Reference List'!$J:$J,0))</f>
        <v>#N/A</v>
      </c>
      <c r="T418" s="229"/>
      <c r="U418" s="229">
        <f t="shared" ca="1" si="14"/>
        <v>0</v>
      </c>
      <c r="V418" s="229"/>
      <c r="W418" s="229"/>
      <c r="Y418" s="223" t="str">
        <f t="shared" si="15"/>
        <v/>
      </c>
    </row>
    <row r="419" spans="1:25" s="223" customFormat="1" ht="20.25">
      <c r="A419" s="291"/>
      <c r="B419" s="292" t="str">
        <f>IF(LEN(A419)=0,"",INDEX('Smelter Reference List'!$A:$A,MATCH($A419,'Smelter Reference List'!$E:$E,0)))</f>
        <v/>
      </c>
      <c r="C419" s="298" t="str">
        <f>IF(LEN(A419)=0,"",INDEX('Smelter Reference List'!$C:$C,MATCH($A419,'Smelter Reference List'!$E:$E,0)))</f>
        <v/>
      </c>
      <c r="D419" s="292" t="str">
        <f ca="1">IF(ISERROR($S419),"",OFFSET('Smelter Reference List'!$C$4,$S419-4,0)&amp;"")</f>
        <v/>
      </c>
      <c r="E419" s="292" t="str">
        <f ca="1">IF(ISERROR($S419),"",OFFSET('Smelter Reference List'!$D$4,$S419-4,0)&amp;"")</f>
        <v/>
      </c>
      <c r="F419" s="292" t="str">
        <f ca="1">IF(ISERROR($S419),"",OFFSET('Smelter Reference List'!$E$4,$S419-4,0))</f>
        <v/>
      </c>
      <c r="G419" s="292" t="str">
        <f ca="1">IF(C419=$U$4,"Enter smelter details", IF(ISERROR($S419),"",OFFSET('Smelter Reference List'!$F$4,$S419-4,0)))</f>
        <v/>
      </c>
      <c r="H419" s="293" t="str">
        <f ca="1">IF(ISERROR($S419),"",OFFSET('Smelter Reference List'!$G$4,$S419-4,0))</f>
        <v/>
      </c>
      <c r="I419" s="294" t="str">
        <f ca="1">IF(ISERROR($S419),"",OFFSET('Smelter Reference List'!$H$4,$S419-4,0))</f>
        <v/>
      </c>
      <c r="J419" s="294" t="str">
        <f ca="1">IF(ISERROR($S419),"",OFFSET('Smelter Reference List'!$I$4,$S419-4,0))</f>
        <v/>
      </c>
      <c r="K419" s="295"/>
      <c r="L419" s="295"/>
      <c r="M419" s="295"/>
      <c r="N419" s="295"/>
      <c r="O419" s="295"/>
      <c r="P419" s="295"/>
      <c r="Q419" s="296"/>
      <c r="R419" s="227"/>
      <c r="S419" s="228" t="e">
        <f>IF(C419="",NA(),MATCH($B419&amp;$C419,'Smelter Reference List'!$J:$J,0))</f>
        <v>#N/A</v>
      </c>
      <c r="T419" s="229"/>
      <c r="U419" s="229">
        <f t="shared" ca="1" si="14"/>
        <v>0</v>
      </c>
      <c r="V419" s="229"/>
      <c r="W419" s="229"/>
      <c r="Y419" s="223" t="str">
        <f t="shared" si="15"/>
        <v/>
      </c>
    </row>
    <row r="420" spans="1:25" s="223" customFormat="1" ht="20.25">
      <c r="A420" s="291"/>
      <c r="B420" s="292" t="str">
        <f>IF(LEN(A420)=0,"",INDEX('Smelter Reference List'!$A:$A,MATCH($A420,'Smelter Reference List'!$E:$E,0)))</f>
        <v/>
      </c>
      <c r="C420" s="298" t="str">
        <f>IF(LEN(A420)=0,"",INDEX('Smelter Reference List'!$C:$C,MATCH($A420,'Smelter Reference List'!$E:$E,0)))</f>
        <v/>
      </c>
      <c r="D420" s="292" t="str">
        <f ca="1">IF(ISERROR($S420),"",OFFSET('Smelter Reference List'!$C$4,$S420-4,0)&amp;"")</f>
        <v/>
      </c>
      <c r="E420" s="292" t="str">
        <f ca="1">IF(ISERROR($S420),"",OFFSET('Smelter Reference List'!$D$4,$S420-4,0)&amp;"")</f>
        <v/>
      </c>
      <c r="F420" s="292" t="str">
        <f ca="1">IF(ISERROR($S420),"",OFFSET('Smelter Reference List'!$E$4,$S420-4,0))</f>
        <v/>
      </c>
      <c r="G420" s="292" t="str">
        <f ca="1">IF(C420=$U$4,"Enter smelter details", IF(ISERROR($S420),"",OFFSET('Smelter Reference List'!$F$4,$S420-4,0)))</f>
        <v/>
      </c>
      <c r="H420" s="293" t="str">
        <f ca="1">IF(ISERROR($S420),"",OFFSET('Smelter Reference List'!$G$4,$S420-4,0))</f>
        <v/>
      </c>
      <c r="I420" s="294" t="str">
        <f ca="1">IF(ISERROR($S420),"",OFFSET('Smelter Reference List'!$H$4,$S420-4,0))</f>
        <v/>
      </c>
      <c r="J420" s="294" t="str">
        <f ca="1">IF(ISERROR($S420),"",OFFSET('Smelter Reference List'!$I$4,$S420-4,0))</f>
        <v/>
      </c>
      <c r="K420" s="295"/>
      <c r="L420" s="295"/>
      <c r="M420" s="295"/>
      <c r="N420" s="295"/>
      <c r="O420" s="295"/>
      <c r="P420" s="295"/>
      <c r="Q420" s="296"/>
      <c r="R420" s="227"/>
      <c r="S420" s="228" t="e">
        <f>IF(C420="",NA(),MATCH($B420&amp;$C420,'Smelter Reference List'!$J:$J,0))</f>
        <v>#N/A</v>
      </c>
      <c r="T420" s="229"/>
      <c r="U420" s="229">
        <f t="shared" ca="1" si="14"/>
        <v>0</v>
      </c>
      <c r="V420" s="229"/>
      <c r="W420" s="229"/>
      <c r="Y420" s="223" t="str">
        <f t="shared" si="15"/>
        <v/>
      </c>
    </row>
    <row r="421" spans="1:25" s="223" customFormat="1" ht="20.25">
      <c r="A421" s="291"/>
      <c r="B421" s="292" t="str">
        <f>IF(LEN(A421)=0,"",INDEX('Smelter Reference List'!$A:$A,MATCH($A421,'Smelter Reference List'!$E:$E,0)))</f>
        <v/>
      </c>
      <c r="C421" s="298" t="str">
        <f>IF(LEN(A421)=0,"",INDEX('Smelter Reference List'!$C:$C,MATCH($A421,'Smelter Reference List'!$E:$E,0)))</f>
        <v/>
      </c>
      <c r="D421" s="292" t="str">
        <f ca="1">IF(ISERROR($S421),"",OFFSET('Smelter Reference List'!$C$4,$S421-4,0)&amp;"")</f>
        <v/>
      </c>
      <c r="E421" s="292" t="str">
        <f ca="1">IF(ISERROR($S421),"",OFFSET('Smelter Reference List'!$D$4,$S421-4,0)&amp;"")</f>
        <v/>
      </c>
      <c r="F421" s="292" t="str">
        <f ca="1">IF(ISERROR($S421),"",OFFSET('Smelter Reference List'!$E$4,$S421-4,0))</f>
        <v/>
      </c>
      <c r="G421" s="292" t="str">
        <f ca="1">IF(C421=$U$4,"Enter smelter details", IF(ISERROR($S421),"",OFFSET('Smelter Reference List'!$F$4,$S421-4,0)))</f>
        <v/>
      </c>
      <c r="H421" s="293" t="str">
        <f ca="1">IF(ISERROR($S421),"",OFFSET('Smelter Reference List'!$G$4,$S421-4,0))</f>
        <v/>
      </c>
      <c r="I421" s="294" t="str">
        <f ca="1">IF(ISERROR($S421),"",OFFSET('Smelter Reference List'!$H$4,$S421-4,0))</f>
        <v/>
      </c>
      <c r="J421" s="294" t="str">
        <f ca="1">IF(ISERROR($S421),"",OFFSET('Smelter Reference List'!$I$4,$S421-4,0))</f>
        <v/>
      </c>
      <c r="K421" s="295"/>
      <c r="L421" s="295"/>
      <c r="M421" s="295"/>
      <c r="N421" s="295"/>
      <c r="O421" s="295"/>
      <c r="P421" s="295"/>
      <c r="Q421" s="296"/>
      <c r="R421" s="227"/>
      <c r="S421" s="228" t="e">
        <f>IF(C421="",NA(),MATCH($B421&amp;$C421,'Smelter Reference List'!$J:$J,0))</f>
        <v>#N/A</v>
      </c>
      <c r="T421" s="229"/>
      <c r="U421" s="229">
        <f t="shared" ca="1" si="14"/>
        <v>0</v>
      </c>
      <c r="V421" s="229"/>
      <c r="W421" s="229"/>
      <c r="Y421" s="223" t="str">
        <f t="shared" si="15"/>
        <v/>
      </c>
    </row>
    <row r="422" spans="1:25" s="223" customFormat="1" ht="20.25">
      <c r="A422" s="291"/>
      <c r="B422" s="292" t="str">
        <f>IF(LEN(A422)=0,"",INDEX('Smelter Reference List'!$A:$A,MATCH($A422,'Smelter Reference List'!$E:$E,0)))</f>
        <v/>
      </c>
      <c r="C422" s="298" t="str">
        <f>IF(LEN(A422)=0,"",INDEX('Smelter Reference List'!$C:$C,MATCH($A422,'Smelter Reference List'!$E:$E,0)))</f>
        <v/>
      </c>
      <c r="D422" s="292" t="str">
        <f ca="1">IF(ISERROR($S422),"",OFFSET('Smelter Reference List'!$C$4,$S422-4,0)&amp;"")</f>
        <v/>
      </c>
      <c r="E422" s="292" t="str">
        <f ca="1">IF(ISERROR($S422),"",OFFSET('Smelter Reference List'!$D$4,$S422-4,0)&amp;"")</f>
        <v/>
      </c>
      <c r="F422" s="292" t="str">
        <f ca="1">IF(ISERROR($S422),"",OFFSET('Smelter Reference List'!$E$4,$S422-4,0))</f>
        <v/>
      </c>
      <c r="G422" s="292" t="str">
        <f ca="1">IF(C422=$U$4,"Enter smelter details", IF(ISERROR($S422),"",OFFSET('Smelter Reference List'!$F$4,$S422-4,0)))</f>
        <v/>
      </c>
      <c r="H422" s="293" t="str">
        <f ca="1">IF(ISERROR($S422),"",OFFSET('Smelter Reference List'!$G$4,$S422-4,0))</f>
        <v/>
      </c>
      <c r="I422" s="294" t="str">
        <f ca="1">IF(ISERROR($S422),"",OFFSET('Smelter Reference List'!$H$4,$S422-4,0))</f>
        <v/>
      </c>
      <c r="J422" s="294" t="str">
        <f ca="1">IF(ISERROR($S422),"",OFFSET('Smelter Reference List'!$I$4,$S422-4,0))</f>
        <v/>
      </c>
      <c r="K422" s="295"/>
      <c r="L422" s="295"/>
      <c r="M422" s="295"/>
      <c r="N422" s="295"/>
      <c r="O422" s="295"/>
      <c r="P422" s="295"/>
      <c r="Q422" s="296"/>
      <c r="R422" s="227"/>
      <c r="S422" s="228" t="e">
        <f>IF(C422="",NA(),MATCH($B422&amp;$C422,'Smelter Reference List'!$J:$J,0))</f>
        <v>#N/A</v>
      </c>
      <c r="T422" s="229"/>
      <c r="U422" s="229">
        <f t="shared" ca="1" si="14"/>
        <v>0</v>
      </c>
      <c r="V422" s="229"/>
      <c r="W422" s="229"/>
      <c r="Y422" s="223" t="str">
        <f t="shared" si="15"/>
        <v/>
      </c>
    </row>
    <row r="423" spans="1:25" s="223" customFormat="1" ht="20.25">
      <c r="A423" s="291"/>
      <c r="B423" s="292" t="str">
        <f>IF(LEN(A423)=0,"",INDEX('Smelter Reference List'!$A:$A,MATCH($A423,'Smelter Reference List'!$E:$E,0)))</f>
        <v/>
      </c>
      <c r="C423" s="298" t="str">
        <f>IF(LEN(A423)=0,"",INDEX('Smelter Reference List'!$C:$C,MATCH($A423,'Smelter Reference List'!$E:$E,0)))</f>
        <v/>
      </c>
      <c r="D423" s="292" t="str">
        <f ca="1">IF(ISERROR($S423),"",OFFSET('Smelter Reference List'!$C$4,$S423-4,0)&amp;"")</f>
        <v/>
      </c>
      <c r="E423" s="292" t="str">
        <f ca="1">IF(ISERROR($S423),"",OFFSET('Smelter Reference List'!$D$4,$S423-4,0)&amp;"")</f>
        <v/>
      </c>
      <c r="F423" s="292" t="str">
        <f ca="1">IF(ISERROR($S423),"",OFFSET('Smelter Reference List'!$E$4,$S423-4,0))</f>
        <v/>
      </c>
      <c r="G423" s="292" t="str">
        <f ca="1">IF(C423=$U$4,"Enter smelter details", IF(ISERROR($S423),"",OFFSET('Smelter Reference List'!$F$4,$S423-4,0)))</f>
        <v/>
      </c>
      <c r="H423" s="293" t="str">
        <f ca="1">IF(ISERROR($S423),"",OFFSET('Smelter Reference List'!$G$4,$S423-4,0))</f>
        <v/>
      </c>
      <c r="I423" s="294" t="str">
        <f ca="1">IF(ISERROR($S423),"",OFFSET('Smelter Reference List'!$H$4,$S423-4,0))</f>
        <v/>
      </c>
      <c r="J423" s="294" t="str">
        <f ca="1">IF(ISERROR($S423),"",OFFSET('Smelter Reference List'!$I$4,$S423-4,0))</f>
        <v/>
      </c>
      <c r="K423" s="295"/>
      <c r="L423" s="295"/>
      <c r="M423" s="295"/>
      <c r="N423" s="295"/>
      <c r="O423" s="295"/>
      <c r="P423" s="295"/>
      <c r="Q423" s="296"/>
      <c r="R423" s="227"/>
      <c r="S423" s="228" t="e">
        <f>IF(C423="",NA(),MATCH($B423&amp;$C423,'Smelter Reference List'!$J:$J,0))</f>
        <v>#N/A</v>
      </c>
      <c r="T423" s="229"/>
      <c r="U423" s="229">
        <f t="shared" ca="1" si="14"/>
        <v>0</v>
      </c>
      <c r="V423" s="229"/>
      <c r="W423" s="229"/>
      <c r="Y423" s="223" t="str">
        <f t="shared" si="15"/>
        <v/>
      </c>
    </row>
    <row r="424" spans="1:25" s="223" customFormat="1" ht="20.25">
      <c r="A424" s="291"/>
      <c r="B424" s="292" t="str">
        <f>IF(LEN(A424)=0,"",INDEX('Smelter Reference List'!$A:$A,MATCH($A424,'Smelter Reference List'!$E:$E,0)))</f>
        <v/>
      </c>
      <c r="C424" s="298" t="str">
        <f>IF(LEN(A424)=0,"",INDEX('Smelter Reference List'!$C:$C,MATCH($A424,'Smelter Reference List'!$E:$E,0)))</f>
        <v/>
      </c>
      <c r="D424" s="292" t="str">
        <f ca="1">IF(ISERROR($S424),"",OFFSET('Smelter Reference List'!$C$4,$S424-4,0)&amp;"")</f>
        <v/>
      </c>
      <c r="E424" s="292" t="str">
        <f ca="1">IF(ISERROR($S424),"",OFFSET('Smelter Reference List'!$D$4,$S424-4,0)&amp;"")</f>
        <v/>
      </c>
      <c r="F424" s="292" t="str">
        <f ca="1">IF(ISERROR($S424),"",OFFSET('Smelter Reference List'!$E$4,$S424-4,0))</f>
        <v/>
      </c>
      <c r="G424" s="292" t="str">
        <f ca="1">IF(C424=$U$4,"Enter smelter details", IF(ISERROR($S424),"",OFFSET('Smelter Reference List'!$F$4,$S424-4,0)))</f>
        <v/>
      </c>
      <c r="H424" s="293" t="str">
        <f ca="1">IF(ISERROR($S424),"",OFFSET('Smelter Reference List'!$G$4,$S424-4,0))</f>
        <v/>
      </c>
      <c r="I424" s="294" t="str">
        <f ca="1">IF(ISERROR($S424),"",OFFSET('Smelter Reference List'!$H$4,$S424-4,0))</f>
        <v/>
      </c>
      <c r="J424" s="294" t="str">
        <f ca="1">IF(ISERROR($S424),"",OFFSET('Smelter Reference List'!$I$4,$S424-4,0))</f>
        <v/>
      </c>
      <c r="K424" s="295"/>
      <c r="L424" s="295"/>
      <c r="M424" s="295"/>
      <c r="N424" s="295"/>
      <c r="O424" s="295"/>
      <c r="P424" s="295"/>
      <c r="Q424" s="296"/>
      <c r="R424" s="227"/>
      <c r="S424" s="228" t="e">
        <f>IF(C424="",NA(),MATCH($B424&amp;$C424,'Smelter Reference List'!$J:$J,0))</f>
        <v>#N/A</v>
      </c>
      <c r="T424" s="229"/>
      <c r="U424" s="229">
        <f t="shared" ca="1" si="14"/>
        <v>0</v>
      </c>
      <c r="V424" s="229"/>
      <c r="W424" s="229"/>
      <c r="Y424" s="223" t="str">
        <f t="shared" si="15"/>
        <v/>
      </c>
    </row>
    <row r="425" spans="1:25" s="223" customFormat="1" ht="20.25">
      <c r="A425" s="291"/>
      <c r="B425" s="292" t="str">
        <f>IF(LEN(A425)=0,"",INDEX('Smelter Reference List'!$A:$A,MATCH($A425,'Smelter Reference List'!$E:$E,0)))</f>
        <v/>
      </c>
      <c r="C425" s="298" t="str">
        <f>IF(LEN(A425)=0,"",INDEX('Smelter Reference List'!$C:$C,MATCH($A425,'Smelter Reference List'!$E:$E,0)))</f>
        <v/>
      </c>
      <c r="D425" s="292" t="str">
        <f ca="1">IF(ISERROR($S425),"",OFFSET('Smelter Reference List'!$C$4,$S425-4,0)&amp;"")</f>
        <v/>
      </c>
      <c r="E425" s="292" t="str">
        <f ca="1">IF(ISERROR($S425),"",OFFSET('Smelter Reference List'!$D$4,$S425-4,0)&amp;"")</f>
        <v/>
      </c>
      <c r="F425" s="292" t="str">
        <f ca="1">IF(ISERROR($S425),"",OFFSET('Smelter Reference List'!$E$4,$S425-4,0))</f>
        <v/>
      </c>
      <c r="G425" s="292" t="str">
        <f ca="1">IF(C425=$U$4,"Enter smelter details", IF(ISERROR($S425),"",OFFSET('Smelter Reference List'!$F$4,$S425-4,0)))</f>
        <v/>
      </c>
      <c r="H425" s="293" t="str">
        <f ca="1">IF(ISERROR($S425),"",OFFSET('Smelter Reference List'!$G$4,$S425-4,0))</f>
        <v/>
      </c>
      <c r="I425" s="294" t="str">
        <f ca="1">IF(ISERROR($S425),"",OFFSET('Smelter Reference List'!$H$4,$S425-4,0))</f>
        <v/>
      </c>
      <c r="J425" s="294" t="str">
        <f ca="1">IF(ISERROR($S425),"",OFFSET('Smelter Reference List'!$I$4,$S425-4,0))</f>
        <v/>
      </c>
      <c r="K425" s="295"/>
      <c r="L425" s="295"/>
      <c r="M425" s="295"/>
      <c r="N425" s="295"/>
      <c r="O425" s="295"/>
      <c r="P425" s="295"/>
      <c r="Q425" s="296"/>
      <c r="R425" s="227"/>
      <c r="S425" s="228" t="e">
        <f>IF(C425="",NA(),MATCH($B425&amp;$C425,'Smelter Reference List'!$J:$J,0))</f>
        <v>#N/A</v>
      </c>
      <c r="T425" s="229"/>
      <c r="U425" s="229">
        <f t="shared" ca="1" si="14"/>
        <v>0</v>
      </c>
      <c r="V425" s="229"/>
      <c r="W425" s="229"/>
      <c r="Y425" s="223" t="str">
        <f t="shared" si="15"/>
        <v/>
      </c>
    </row>
    <row r="426" spans="1:25" s="223" customFormat="1" ht="20.25">
      <c r="A426" s="291"/>
      <c r="B426" s="292" t="str">
        <f>IF(LEN(A426)=0,"",INDEX('Smelter Reference List'!$A:$A,MATCH($A426,'Smelter Reference List'!$E:$E,0)))</f>
        <v/>
      </c>
      <c r="C426" s="298" t="str">
        <f>IF(LEN(A426)=0,"",INDEX('Smelter Reference List'!$C:$C,MATCH($A426,'Smelter Reference List'!$E:$E,0)))</f>
        <v/>
      </c>
      <c r="D426" s="292" t="str">
        <f ca="1">IF(ISERROR($S426),"",OFFSET('Smelter Reference List'!$C$4,$S426-4,0)&amp;"")</f>
        <v/>
      </c>
      <c r="E426" s="292" t="str">
        <f ca="1">IF(ISERROR($S426),"",OFFSET('Smelter Reference List'!$D$4,$S426-4,0)&amp;"")</f>
        <v/>
      </c>
      <c r="F426" s="292" t="str">
        <f ca="1">IF(ISERROR($S426),"",OFFSET('Smelter Reference List'!$E$4,$S426-4,0))</f>
        <v/>
      </c>
      <c r="G426" s="292" t="str">
        <f ca="1">IF(C426=$U$4,"Enter smelter details", IF(ISERROR($S426),"",OFFSET('Smelter Reference List'!$F$4,$S426-4,0)))</f>
        <v/>
      </c>
      <c r="H426" s="293" t="str">
        <f ca="1">IF(ISERROR($S426),"",OFFSET('Smelter Reference List'!$G$4,$S426-4,0))</f>
        <v/>
      </c>
      <c r="I426" s="294" t="str">
        <f ca="1">IF(ISERROR($S426),"",OFFSET('Smelter Reference List'!$H$4,$S426-4,0))</f>
        <v/>
      </c>
      <c r="J426" s="294" t="str">
        <f ca="1">IF(ISERROR($S426),"",OFFSET('Smelter Reference List'!$I$4,$S426-4,0))</f>
        <v/>
      </c>
      <c r="K426" s="295"/>
      <c r="L426" s="295"/>
      <c r="M426" s="295"/>
      <c r="N426" s="295"/>
      <c r="O426" s="295"/>
      <c r="P426" s="295"/>
      <c r="Q426" s="296"/>
      <c r="R426" s="227"/>
      <c r="S426" s="228" t="e">
        <f>IF(C426="",NA(),MATCH($B426&amp;$C426,'Smelter Reference List'!$J:$J,0))</f>
        <v>#N/A</v>
      </c>
      <c r="T426" s="229"/>
      <c r="U426" s="229">
        <f t="shared" ca="1" si="14"/>
        <v>0</v>
      </c>
      <c r="V426" s="229"/>
      <c r="W426" s="229"/>
      <c r="Y426" s="223" t="str">
        <f t="shared" si="15"/>
        <v/>
      </c>
    </row>
    <row r="427" spans="1:25" s="223" customFormat="1" ht="20.25">
      <c r="A427" s="291"/>
      <c r="B427" s="292" t="str">
        <f>IF(LEN(A427)=0,"",INDEX('Smelter Reference List'!$A:$A,MATCH($A427,'Smelter Reference List'!$E:$E,0)))</f>
        <v/>
      </c>
      <c r="C427" s="298" t="str">
        <f>IF(LEN(A427)=0,"",INDEX('Smelter Reference List'!$C:$C,MATCH($A427,'Smelter Reference List'!$E:$E,0)))</f>
        <v/>
      </c>
      <c r="D427" s="292" t="str">
        <f ca="1">IF(ISERROR($S427),"",OFFSET('Smelter Reference List'!$C$4,$S427-4,0)&amp;"")</f>
        <v/>
      </c>
      <c r="E427" s="292" t="str">
        <f ca="1">IF(ISERROR($S427),"",OFFSET('Smelter Reference List'!$D$4,$S427-4,0)&amp;"")</f>
        <v/>
      </c>
      <c r="F427" s="292" t="str">
        <f ca="1">IF(ISERROR($S427),"",OFFSET('Smelter Reference List'!$E$4,$S427-4,0))</f>
        <v/>
      </c>
      <c r="G427" s="292" t="str">
        <f ca="1">IF(C427=$U$4,"Enter smelter details", IF(ISERROR($S427),"",OFFSET('Smelter Reference List'!$F$4,$S427-4,0)))</f>
        <v/>
      </c>
      <c r="H427" s="293" t="str">
        <f ca="1">IF(ISERROR($S427),"",OFFSET('Smelter Reference List'!$G$4,$S427-4,0))</f>
        <v/>
      </c>
      <c r="I427" s="294" t="str">
        <f ca="1">IF(ISERROR($S427),"",OFFSET('Smelter Reference List'!$H$4,$S427-4,0))</f>
        <v/>
      </c>
      <c r="J427" s="294" t="str">
        <f ca="1">IF(ISERROR($S427),"",OFFSET('Smelter Reference List'!$I$4,$S427-4,0))</f>
        <v/>
      </c>
      <c r="K427" s="295"/>
      <c r="L427" s="295"/>
      <c r="M427" s="295"/>
      <c r="N427" s="295"/>
      <c r="O427" s="295"/>
      <c r="P427" s="295"/>
      <c r="Q427" s="296"/>
      <c r="R427" s="227"/>
      <c r="S427" s="228" t="e">
        <f>IF(C427="",NA(),MATCH($B427&amp;$C427,'Smelter Reference List'!$J:$J,0))</f>
        <v>#N/A</v>
      </c>
      <c r="T427" s="229"/>
      <c r="U427" s="229">
        <f t="shared" ca="1" si="14"/>
        <v>0</v>
      </c>
      <c r="V427" s="229"/>
      <c r="W427" s="229"/>
      <c r="Y427" s="223" t="str">
        <f t="shared" si="15"/>
        <v/>
      </c>
    </row>
    <row r="428" spans="1:25" s="223" customFormat="1" ht="20.25">
      <c r="A428" s="291"/>
      <c r="B428" s="292" t="str">
        <f>IF(LEN(A428)=0,"",INDEX('Smelter Reference List'!$A:$A,MATCH($A428,'Smelter Reference List'!$E:$E,0)))</f>
        <v/>
      </c>
      <c r="C428" s="298" t="str">
        <f>IF(LEN(A428)=0,"",INDEX('Smelter Reference List'!$C:$C,MATCH($A428,'Smelter Reference List'!$E:$E,0)))</f>
        <v/>
      </c>
      <c r="D428" s="292" t="str">
        <f ca="1">IF(ISERROR($S428),"",OFFSET('Smelter Reference List'!$C$4,$S428-4,0)&amp;"")</f>
        <v/>
      </c>
      <c r="E428" s="292" t="str">
        <f ca="1">IF(ISERROR($S428),"",OFFSET('Smelter Reference List'!$D$4,$S428-4,0)&amp;"")</f>
        <v/>
      </c>
      <c r="F428" s="292" t="str">
        <f ca="1">IF(ISERROR($S428),"",OFFSET('Smelter Reference List'!$E$4,$S428-4,0))</f>
        <v/>
      </c>
      <c r="G428" s="292" t="str">
        <f ca="1">IF(C428=$U$4,"Enter smelter details", IF(ISERROR($S428),"",OFFSET('Smelter Reference List'!$F$4,$S428-4,0)))</f>
        <v/>
      </c>
      <c r="H428" s="293" t="str">
        <f ca="1">IF(ISERROR($S428),"",OFFSET('Smelter Reference List'!$G$4,$S428-4,0))</f>
        <v/>
      </c>
      <c r="I428" s="294" t="str">
        <f ca="1">IF(ISERROR($S428),"",OFFSET('Smelter Reference List'!$H$4,$S428-4,0))</f>
        <v/>
      </c>
      <c r="J428" s="294" t="str">
        <f ca="1">IF(ISERROR($S428),"",OFFSET('Smelter Reference List'!$I$4,$S428-4,0))</f>
        <v/>
      </c>
      <c r="K428" s="295"/>
      <c r="L428" s="295"/>
      <c r="M428" s="295"/>
      <c r="N428" s="295"/>
      <c r="O428" s="295"/>
      <c r="P428" s="295"/>
      <c r="Q428" s="296"/>
      <c r="R428" s="227"/>
      <c r="S428" s="228" t="e">
        <f>IF(C428="",NA(),MATCH($B428&amp;$C428,'Smelter Reference List'!$J:$J,0))</f>
        <v>#N/A</v>
      </c>
      <c r="T428" s="229"/>
      <c r="U428" s="229">
        <f t="shared" ca="1" si="14"/>
        <v>0</v>
      </c>
      <c r="V428" s="229"/>
      <c r="W428" s="229"/>
      <c r="Y428" s="223" t="str">
        <f t="shared" si="15"/>
        <v/>
      </c>
    </row>
    <row r="429" spans="1:25" s="223" customFormat="1" ht="20.25">
      <c r="A429" s="291"/>
      <c r="B429" s="292" t="str">
        <f>IF(LEN(A429)=0,"",INDEX('Smelter Reference List'!$A:$A,MATCH($A429,'Smelter Reference List'!$E:$E,0)))</f>
        <v/>
      </c>
      <c r="C429" s="298" t="str">
        <f>IF(LEN(A429)=0,"",INDEX('Smelter Reference List'!$C:$C,MATCH($A429,'Smelter Reference List'!$E:$E,0)))</f>
        <v/>
      </c>
      <c r="D429" s="292" t="str">
        <f ca="1">IF(ISERROR($S429),"",OFFSET('Smelter Reference List'!$C$4,$S429-4,0)&amp;"")</f>
        <v/>
      </c>
      <c r="E429" s="292" t="str">
        <f ca="1">IF(ISERROR($S429),"",OFFSET('Smelter Reference List'!$D$4,$S429-4,0)&amp;"")</f>
        <v/>
      </c>
      <c r="F429" s="292" t="str">
        <f ca="1">IF(ISERROR($S429),"",OFFSET('Smelter Reference List'!$E$4,$S429-4,0))</f>
        <v/>
      </c>
      <c r="G429" s="292" t="str">
        <f ca="1">IF(C429=$U$4,"Enter smelter details", IF(ISERROR($S429),"",OFFSET('Smelter Reference List'!$F$4,$S429-4,0)))</f>
        <v/>
      </c>
      <c r="H429" s="293" t="str">
        <f ca="1">IF(ISERROR($S429),"",OFFSET('Smelter Reference List'!$G$4,$S429-4,0))</f>
        <v/>
      </c>
      <c r="I429" s="294" t="str">
        <f ca="1">IF(ISERROR($S429),"",OFFSET('Smelter Reference List'!$H$4,$S429-4,0))</f>
        <v/>
      </c>
      <c r="J429" s="294" t="str">
        <f ca="1">IF(ISERROR($S429),"",OFFSET('Smelter Reference List'!$I$4,$S429-4,0))</f>
        <v/>
      </c>
      <c r="K429" s="295"/>
      <c r="L429" s="295"/>
      <c r="M429" s="295"/>
      <c r="N429" s="295"/>
      <c r="O429" s="295"/>
      <c r="P429" s="295"/>
      <c r="Q429" s="296"/>
      <c r="R429" s="227"/>
      <c r="S429" s="228" t="e">
        <f>IF(C429="",NA(),MATCH($B429&amp;$C429,'Smelter Reference List'!$J:$J,0))</f>
        <v>#N/A</v>
      </c>
      <c r="T429" s="229"/>
      <c r="U429" s="229">
        <f t="shared" ca="1" si="14"/>
        <v>0</v>
      </c>
      <c r="V429" s="229"/>
      <c r="W429" s="229"/>
      <c r="Y429" s="223" t="str">
        <f t="shared" si="15"/>
        <v/>
      </c>
    </row>
    <row r="430" spans="1:25" s="223" customFormat="1" ht="20.25">
      <c r="A430" s="291"/>
      <c r="B430" s="292" t="str">
        <f>IF(LEN(A430)=0,"",INDEX('Smelter Reference List'!$A:$A,MATCH($A430,'Smelter Reference List'!$E:$E,0)))</f>
        <v/>
      </c>
      <c r="C430" s="298" t="str">
        <f>IF(LEN(A430)=0,"",INDEX('Smelter Reference List'!$C:$C,MATCH($A430,'Smelter Reference List'!$E:$E,0)))</f>
        <v/>
      </c>
      <c r="D430" s="292" t="str">
        <f ca="1">IF(ISERROR($S430),"",OFFSET('Smelter Reference List'!$C$4,$S430-4,0)&amp;"")</f>
        <v/>
      </c>
      <c r="E430" s="292" t="str">
        <f ca="1">IF(ISERROR($S430),"",OFFSET('Smelter Reference List'!$D$4,$S430-4,0)&amp;"")</f>
        <v/>
      </c>
      <c r="F430" s="292" t="str">
        <f ca="1">IF(ISERROR($S430),"",OFFSET('Smelter Reference List'!$E$4,$S430-4,0))</f>
        <v/>
      </c>
      <c r="G430" s="292" t="str">
        <f ca="1">IF(C430=$U$4,"Enter smelter details", IF(ISERROR($S430),"",OFFSET('Smelter Reference List'!$F$4,$S430-4,0)))</f>
        <v/>
      </c>
      <c r="H430" s="293" t="str">
        <f ca="1">IF(ISERROR($S430),"",OFFSET('Smelter Reference List'!$G$4,$S430-4,0))</f>
        <v/>
      </c>
      <c r="I430" s="294" t="str">
        <f ca="1">IF(ISERROR($S430),"",OFFSET('Smelter Reference List'!$H$4,$S430-4,0))</f>
        <v/>
      </c>
      <c r="J430" s="294" t="str">
        <f ca="1">IF(ISERROR($S430),"",OFFSET('Smelter Reference List'!$I$4,$S430-4,0))</f>
        <v/>
      </c>
      <c r="K430" s="295"/>
      <c r="L430" s="295"/>
      <c r="M430" s="295"/>
      <c r="N430" s="295"/>
      <c r="O430" s="295"/>
      <c r="P430" s="295"/>
      <c r="Q430" s="296"/>
      <c r="R430" s="227"/>
      <c r="S430" s="228" t="e">
        <f>IF(C430="",NA(),MATCH($B430&amp;$C430,'Smelter Reference List'!$J:$J,0))</f>
        <v>#N/A</v>
      </c>
      <c r="T430" s="229"/>
      <c r="U430" s="229">
        <f t="shared" ca="1" si="14"/>
        <v>0</v>
      </c>
      <c r="V430" s="229"/>
      <c r="W430" s="229"/>
      <c r="Y430" s="223" t="str">
        <f t="shared" si="15"/>
        <v/>
      </c>
    </row>
    <row r="431" spans="1:25" s="223" customFormat="1" ht="20.25">
      <c r="A431" s="291"/>
      <c r="B431" s="292" t="str">
        <f>IF(LEN(A431)=0,"",INDEX('Smelter Reference List'!$A:$A,MATCH($A431,'Smelter Reference List'!$E:$E,0)))</f>
        <v/>
      </c>
      <c r="C431" s="298" t="str">
        <f>IF(LEN(A431)=0,"",INDEX('Smelter Reference List'!$C:$C,MATCH($A431,'Smelter Reference List'!$E:$E,0)))</f>
        <v/>
      </c>
      <c r="D431" s="292" t="str">
        <f ca="1">IF(ISERROR($S431),"",OFFSET('Smelter Reference List'!$C$4,$S431-4,0)&amp;"")</f>
        <v/>
      </c>
      <c r="E431" s="292" t="str">
        <f ca="1">IF(ISERROR($S431),"",OFFSET('Smelter Reference List'!$D$4,$S431-4,0)&amp;"")</f>
        <v/>
      </c>
      <c r="F431" s="292" t="str">
        <f ca="1">IF(ISERROR($S431),"",OFFSET('Smelter Reference List'!$E$4,$S431-4,0))</f>
        <v/>
      </c>
      <c r="G431" s="292" t="str">
        <f ca="1">IF(C431=$U$4,"Enter smelter details", IF(ISERROR($S431),"",OFFSET('Smelter Reference List'!$F$4,$S431-4,0)))</f>
        <v/>
      </c>
      <c r="H431" s="293" t="str">
        <f ca="1">IF(ISERROR($S431),"",OFFSET('Smelter Reference List'!$G$4,$S431-4,0))</f>
        <v/>
      </c>
      <c r="I431" s="294" t="str">
        <f ca="1">IF(ISERROR($S431),"",OFFSET('Smelter Reference List'!$H$4,$S431-4,0))</f>
        <v/>
      </c>
      <c r="J431" s="294" t="str">
        <f ca="1">IF(ISERROR($S431),"",OFFSET('Smelter Reference List'!$I$4,$S431-4,0))</f>
        <v/>
      </c>
      <c r="K431" s="295"/>
      <c r="L431" s="295"/>
      <c r="M431" s="295"/>
      <c r="N431" s="295"/>
      <c r="O431" s="295"/>
      <c r="P431" s="295"/>
      <c r="Q431" s="296"/>
      <c r="R431" s="227"/>
      <c r="S431" s="228" t="e">
        <f>IF(C431="",NA(),MATCH($B431&amp;$C431,'Smelter Reference List'!$J:$J,0))</f>
        <v>#N/A</v>
      </c>
      <c r="T431" s="229"/>
      <c r="U431" s="229">
        <f t="shared" ca="1" si="14"/>
        <v>0</v>
      </c>
      <c r="V431" s="229"/>
      <c r="W431" s="229"/>
      <c r="Y431" s="223" t="str">
        <f t="shared" si="15"/>
        <v/>
      </c>
    </row>
    <row r="432" spans="1:25" s="223" customFormat="1" ht="20.25">
      <c r="A432" s="291"/>
      <c r="B432" s="292" t="str">
        <f>IF(LEN(A432)=0,"",INDEX('Smelter Reference List'!$A:$A,MATCH($A432,'Smelter Reference List'!$E:$E,0)))</f>
        <v/>
      </c>
      <c r="C432" s="298" t="str">
        <f>IF(LEN(A432)=0,"",INDEX('Smelter Reference List'!$C:$C,MATCH($A432,'Smelter Reference List'!$E:$E,0)))</f>
        <v/>
      </c>
      <c r="D432" s="292" t="str">
        <f ca="1">IF(ISERROR($S432),"",OFFSET('Smelter Reference List'!$C$4,$S432-4,0)&amp;"")</f>
        <v/>
      </c>
      <c r="E432" s="292" t="str">
        <f ca="1">IF(ISERROR($S432),"",OFFSET('Smelter Reference List'!$D$4,$S432-4,0)&amp;"")</f>
        <v/>
      </c>
      <c r="F432" s="292" t="str">
        <f ca="1">IF(ISERROR($S432),"",OFFSET('Smelter Reference List'!$E$4,$S432-4,0))</f>
        <v/>
      </c>
      <c r="G432" s="292" t="str">
        <f ca="1">IF(C432=$U$4,"Enter smelter details", IF(ISERROR($S432),"",OFFSET('Smelter Reference List'!$F$4,$S432-4,0)))</f>
        <v/>
      </c>
      <c r="H432" s="293" t="str">
        <f ca="1">IF(ISERROR($S432),"",OFFSET('Smelter Reference List'!$G$4,$S432-4,0))</f>
        <v/>
      </c>
      <c r="I432" s="294" t="str">
        <f ca="1">IF(ISERROR($S432),"",OFFSET('Smelter Reference List'!$H$4,$S432-4,0))</f>
        <v/>
      </c>
      <c r="J432" s="294" t="str">
        <f ca="1">IF(ISERROR($S432),"",OFFSET('Smelter Reference List'!$I$4,$S432-4,0))</f>
        <v/>
      </c>
      <c r="K432" s="295"/>
      <c r="L432" s="295"/>
      <c r="M432" s="295"/>
      <c r="N432" s="295"/>
      <c r="O432" s="295"/>
      <c r="P432" s="295"/>
      <c r="Q432" s="296"/>
      <c r="R432" s="227"/>
      <c r="S432" s="228" t="e">
        <f>IF(C432="",NA(),MATCH($B432&amp;$C432,'Smelter Reference List'!$J:$J,0))</f>
        <v>#N/A</v>
      </c>
      <c r="T432" s="229"/>
      <c r="U432" s="229">
        <f t="shared" ca="1" si="14"/>
        <v>0</v>
      </c>
      <c r="V432" s="229"/>
      <c r="W432" s="229"/>
      <c r="Y432" s="223" t="str">
        <f t="shared" si="15"/>
        <v/>
      </c>
    </row>
    <row r="433" spans="1:25" s="223" customFormat="1" ht="20.25">
      <c r="A433" s="291"/>
      <c r="B433" s="292" t="str">
        <f>IF(LEN(A433)=0,"",INDEX('Smelter Reference List'!$A:$A,MATCH($A433,'Smelter Reference List'!$E:$E,0)))</f>
        <v/>
      </c>
      <c r="C433" s="298" t="str">
        <f>IF(LEN(A433)=0,"",INDEX('Smelter Reference List'!$C:$C,MATCH($A433,'Smelter Reference List'!$E:$E,0)))</f>
        <v/>
      </c>
      <c r="D433" s="292" t="str">
        <f ca="1">IF(ISERROR($S433),"",OFFSET('Smelter Reference List'!$C$4,$S433-4,0)&amp;"")</f>
        <v/>
      </c>
      <c r="E433" s="292" t="str">
        <f ca="1">IF(ISERROR($S433),"",OFFSET('Smelter Reference List'!$D$4,$S433-4,0)&amp;"")</f>
        <v/>
      </c>
      <c r="F433" s="292" t="str">
        <f ca="1">IF(ISERROR($S433),"",OFFSET('Smelter Reference List'!$E$4,$S433-4,0))</f>
        <v/>
      </c>
      <c r="G433" s="292" t="str">
        <f ca="1">IF(C433=$U$4,"Enter smelter details", IF(ISERROR($S433),"",OFFSET('Smelter Reference List'!$F$4,$S433-4,0)))</f>
        <v/>
      </c>
      <c r="H433" s="293" t="str">
        <f ca="1">IF(ISERROR($S433),"",OFFSET('Smelter Reference List'!$G$4,$S433-4,0))</f>
        <v/>
      </c>
      <c r="I433" s="294" t="str">
        <f ca="1">IF(ISERROR($S433),"",OFFSET('Smelter Reference List'!$H$4,$S433-4,0))</f>
        <v/>
      </c>
      <c r="J433" s="294" t="str">
        <f ca="1">IF(ISERROR($S433),"",OFFSET('Smelter Reference List'!$I$4,$S433-4,0))</f>
        <v/>
      </c>
      <c r="K433" s="295"/>
      <c r="L433" s="295"/>
      <c r="M433" s="295"/>
      <c r="N433" s="295"/>
      <c r="O433" s="295"/>
      <c r="P433" s="295"/>
      <c r="Q433" s="296"/>
      <c r="R433" s="227"/>
      <c r="S433" s="228" t="e">
        <f>IF(C433="",NA(),MATCH($B433&amp;$C433,'Smelter Reference List'!$J:$J,0))</f>
        <v>#N/A</v>
      </c>
      <c r="T433" s="229"/>
      <c r="U433" s="229">
        <f t="shared" ca="1" si="14"/>
        <v>0</v>
      </c>
      <c r="V433" s="229"/>
      <c r="W433" s="229"/>
      <c r="Y433" s="223" t="str">
        <f t="shared" si="15"/>
        <v/>
      </c>
    </row>
    <row r="434" spans="1:25" s="223" customFormat="1" ht="20.25">
      <c r="A434" s="291"/>
      <c r="B434" s="292" t="str">
        <f>IF(LEN(A434)=0,"",INDEX('Smelter Reference List'!$A:$A,MATCH($A434,'Smelter Reference List'!$E:$E,0)))</f>
        <v/>
      </c>
      <c r="C434" s="298" t="str">
        <f>IF(LEN(A434)=0,"",INDEX('Smelter Reference List'!$C:$C,MATCH($A434,'Smelter Reference List'!$E:$E,0)))</f>
        <v/>
      </c>
      <c r="D434" s="292" t="str">
        <f ca="1">IF(ISERROR($S434),"",OFFSET('Smelter Reference List'!$C$4,$S434-4,0)&amp;"")</f>
        <v/>
      </c>
      <c r="E434" s="292" t="str">
        <f ca="1">IF(ISERROR($S434),"",OFFSET('Smelter Reference List'!$D$4,$S434-4,0)&amp;"")</f>
        <v/>
      </c>
      <c r="F434" s="292" t="str">
        <f ca="1">IF(ISERROR($S434),"",OFFSET('Smelter Reference List'!$E$4,$S434-4,0))</f>
        <v/>
      </c>
      <c r="G434" s="292" t="str">
        <f ca="1">IF(C434=$U$4,"Enter smelter details", IF(ISERROR($S434),"",OFFSET('Smelter Reference List'!$F$4,$S434-4,0)))</f>
        <v/>
      </c>
      <c r="H434" s="293" t="str">
        <f ca="1">IF(ISERROR($S434),"",OFFSET('Smelter Reference List'!$G$4,$S434-4,0))</f>
        <v/>
      </c>
      <c r="I434" s="294" t="str">
        <f ca="1">IF(ISERROR($S434),"",OFFSET('Smelter Reference List'!$H$4,$S434-4,0))</f>
        <v/>
      </c>
      <c r="J434" s="294" t="str">
        <f ca="1">IF(ISERROR($S434),"",OFFSET('Smelter Reference List'!$I$4,$S434-4,0))</f>
        <v/>
      </c>
      <c r="K434" s="295"/>
      <c r="L434" s="295"/>
      <c r="M434" s="295"/>
      <c r="N434" s="295"/>
      <c r="O434" s="295"/>
      <c r="P434" s="295"/>
      <c r="Q434" s="296"/>
      <c r="R434" s="227"/>
      <c r="S434" s="228" t="e">
        <f>IF(C434="",NA(),MATCH($B434&amp;$C434,'Smelter Reference List'!$J:$J,0))</f>
        <v>#N/A</v>
      </c>
      <c r="T434" s="229"/>
      <c r="U434" s="229">
        <f t="shared" ca="1" si="14"/>
        <v>0</v>
      </c>
      <c r="V434" s="229"/>
      <c r="W434" s="229"/>
      <c r="Y434" s="223" t="str">
        <f t="shared" si="15"/>
        <v/>
      </c>
    </row>
    <row r="435" spans="1:25" s="223" customFormat="1" ht="20.25">
      <c r="A435" s="291"/>
      <c r="B435" s="292" t="str">
        <f>IF(LEN(A435)=0,"",INDEX('Smelter Reference List'!$A:$A,MATCH($A435,'Smelter Reference List'!$E:$E,0)))</f>
        <v/>
      </c>
      <c r="C435" s="298" t="str">
        <f>IF(LEN(A435)=0,"",INDEX('Smelter Reference List'!$C:$C,MATCH($A435,'Smelter Reference List'!$E:$E,0)))</f>
        <v/>
      </c>
      <c r="D435" s="292" t="str">
        <f ca="1">IF(ISERROR($S435),"",OFFSET('Smelter Reference List'!$C$4,$S435-4,0)&amp;"")</f>
        <v/>
      </c>
      <c r="E435" s="292" t="str">
        <f ca="1">IF(ISERROR($S435),"",OFFSET('Smelter Reference List'!$D$4,$S435-4,0)&amp;"")</f>
        <v/>
      </c>
      <c r="F435" s="292" t="str">
        <f ca="1">IF(ISERROR($S435),"",OFFSET('Smelter Reference List'!$E$4,$S435-4,0))</f>
        <v/>
      </c>
      <c r="G435" s="292" t="str">
        <f ca="1">IF(C435=$U$4,"Enter smelter details", IF(ISERROR($S435),"",OFFSET('Smelter Reference List'!$F$4,$S435-4,0)))</f>
        <v/>
      </c>
      <c r="H435" s="293" t="str">
        <f ca="1">IF(ISERROR($S435),"",OFFSET('Smelter Reference List'!$G$4,$S435-4,0))</f>
        <v/>
      </c>
      <c r="I435" s="294" t="str">
        <f ca="1">IF(ISERROR($S435),"",OFFSET('Smelter Reference List'!$H$4,$S435-4,0))</f>
        <v/>
      </c>
      <c r="J435" s="294" t="str">
        <f ca="1">IF(ISERROR($S435),"",OFFSET('Smelter Reference List'!$I$4,$S435-4,0))</f>
        <v/>
      </c>
      <c r="K435" s="295"/>
      <c r="L435" s="295"/>
      <c r="M435" s="295"/>
      <c r="N435" s="295"/>
      <c r="O435" s="295"/>
      <c r="P435" s="295"/>
      <c r="Q435" s="296"/>
      <c r="R435" s="227"/>
      <c r="S435" s="228" t="e">
        <f>IF(C435="",NA(),MATCH($B435&amp;$C435,'Smelter Reference List'!$J:$J,0))</f>
        <v>#N/A</v>
      </c>
      <c r="T435" s="229"/>
      <c r="U435" s="229">
        <f t="shared" ca="1" si="14"/>
        <v>0</v>
      </c>
      <c r="V435" s="229"/>
      <c r="W435" s="229"/>
      <c r="Y435" s="223" t="str">
        <f t="shared" si="15"/>
        <v/>
      </c>
    </row>
    <row r="436" spans="1:25" s="223" customFormat="1" ht="20.25">
      <c r="A436" s="291"/>
      <c r="B436" s="292" t="str">
        <f>IF(LEN(A436)=0,"",INDEX('Smelter Reference List'!$A:$A,MATCH($A436,'Smelter Reference List'!$E:$E,0)))</f>
        <v/>
      </c>
      <c r="C436" s="298" t="str">
        <f>IF(LEN(A436)=0,"",INDEX('Smelter Reference List'!$C:$C,MATCH($A436,'Smelter Reference List'!$E:$E,0)))</f>
        <v/>
      </c>
      <c r="D436" s="292" t="str">
        <f ca="1">IF(ISERROR($S436),"",OFFSET('Smelter Reference List'!$C$4,$S436-4,0)&amp;"")</f>
        <v/>
      </c>
      <c r="E436" s="292" t="str">
        <f ca="1">IF(ISERROR($S436),"",OFFSET('Smelter Reference List'!$D$4,$S436-4,0)&amp;"")</f>
        <v/>
      </c>
      <c r="F436" s="292" t="str">
        <f ca="1">IF(ISERROR($S436),"",OFFSET('Smelter Reference List'!$E$4,$S436-4,0))</f>
        <v/>
      </c>
      <c r="G436" s="292" t="str">
        <f ca="1">IF(C436=$U$4,"Enter smelter details", IF(ISERROR($S436),"",OFFSET('Smelter Reference List'!$F$4,$S436-4,0)))</f>
        <v/>
      </c>
      <c r="H436" s="293" t="str">
        <f ca="1">IF(ISERROR($S436),"",OFFSET('Smelter Reference List'!$G$4,$S436-4,0))</f>
        <v/>
      </c>
      <c r="I436" s="294" t="str">
        <f ca="1">IF(ISERROR($S436),"",OFFSET('Smelter Reference List'!$H$4,$S436-4,0))</f>
        <v/>
      </c>
      <c r="J436" s="294" t="str">
        <f ca="1">IF(ISERROR($S436),"",OFFSET('Smelter Reference List'!$I$4,$S436-4,0))</f>
        <v/>
      </c>
      <c r="K436" s="295"/>
      <c r="L436" s="295"/>
      <c r="M436" s="295"/>
      <c r="N436" s="295"/>
      <c r="O436" s="295"/>
      <c r="P436" s="295"/>
      <c r="Q436" s="296"/>
      <c r="R436" s="227"/>
      <c r="S436" s="228" t="e">
        <f>IF(C436="",NA(),MATCH($B436&amp;$C436,'Smelter Reference List'!$J:$J,0))</f>
        <v>#N/A</v>
      </c>
      <c r="T436" s="229"/>
      <c r="U436" s="229">
        <f t="shared" ca="1" si="14"/>
        <v>0</v>
      </c>
      <c r="V436" s="229"/>
      <c r="W436" s="229"/>
      <c r="Y436" s="223" t="str">
        <f t="shared" si="15"/>
        <v/>
      </c>
    </row>
    <row r="437" spans="1:25" s="223" customFormat="1" ht="20.25">
      <c r="A437" s="291"/>
      <c r="B437" s="292" t="str">
        <f>IF(LEN(A437)=0,"",INDEX('Smelter Reference List'!$A:$A,MATCH($A437,'Smelter Reference List'!$E:$E,0)))</f>
        <v/>
      </c>
      <c r="C437" s="298" t="str">
        <f>IF(LEN(A437)=0,"",INDEX('Smelter Reference List'!$C:$C,MATCH($A437,'Smelter Reference List'!$E:$E,0)))</f>
        <v/>
      </c>
      <c r="D437" s="292" t="str">
        <f ca="1">IF(ISERROR($S437),"",OFFSET('Smelter Reference List'!$C$4,$S437-4,0)&amp;"")</f>
        <v/>
      </c>
      <c r="E437" s="292" t="str">
        <f ca="1">IF(ISERROR($S437),"",OFFSET('Smelter Reference List'!$D$4,$S437-4,0)&amp;"")</f>
        <v/>
      </c>
      <c r="F437" s="292" t="str">
        <f ca="1">IF(ISERROR($S437),"",OFFSET('Smelter Reference List'!$E$4,$S437-4,0))</f>
        <v/>
      </c>
      <c r="G437" s="292" t="str">
        <f ca="1">IF(C437=$U$4,"Enter smelter details", IF(ISERROR($S437),"",OFFSET('Smelter Reference List'!$F$4,$S437-4,0)))</f>
        <v/>
      </c>
      <c r="H437" s="293" t="str">
        <f ca="1">IF(ISERROR($S437),"",OFFSET('Smelter Reference List'!$G$4,$S437-4,0))</f>
        <v/>
      </c>
      <c r="I437" s="294" t="str">
        <f ca="1">IF(ISERROR($S437),"",OFFSET('Smelter Reference List'!$H$4,$S437-4,0))</f>
        <v/>
      </c>
      <c r="J437" s="294" t="str">
        <f ca="1">IF(ISERROR($S437),"",OFFSET('Smelter Reference List'!$I$4,$S437-4,0))</f>
        <v/>
      </c>
      <c r="K437" s="295"/>
      <c r="L437" s="295"/>
      <c r="M437" s="295"/>
      <c r="N437" s="295"/>
      <c r="O437" s="295"/>
      <c r="P437" s="295"/>
      <c r="Q437" s="296"/>
      <c r="R437" s="227"/>
      <c r="S437" s="228" t="e">
        <f>IF(C437="",NA(),MATCH($B437&amp;$C437,'Smelter Reference List'!$J:$J,0))</f>
        <v>#N/A</v>
      </c>
      <c r="T437" s="229"/>
      <c r="U437" s="229">
        <f t="shared" ca="1" si="14"/>
        <v>0</v>
      </c>
      <c r="V437" s="229"/>
      <c r="W437" s="229"/>
      <c r="Y437" s="223" t="str">
        <f t="shared" si="15"/>
        <v/>
      </c>
    </row>
    <row r="438" spans="1:25" s="223" customFormat="1" ht="20.25">
      <c r="A438" s="291"/>
      <c r="B438" s="292" t="str">
        <f>IF(LEN(A438)=0,"",INDEX('Smelter Reference List'!$A:$A,MATCH($A438,'Smelter Reference List'!$E:$E,0)))</f>
        <v/>
      </c>
      <c r="C438" s="298" t="str">
        <f>IF(LEN(A438)=0,"",INDEX('Smelter Reference List'!$C:$C,MATCH($A438,'Smelter Reference List'!$E:$E,0)))</f>
        <v/>
      </c>
      <c r="D438" s="292" t="str">
        <f ca="1">IF(ISERROR($S438),"",OFFSET('Smelter Reference List'!$C$4,$S438-4,0)&amp;"")</f>
        <v/>
      </c>
      <c r="E438" s="292" t="str">
        <f ca="1">IF(ISERROR($S438),"",OFFSET('Smelter Reference List'!$D$4,$S438-4,0)&amp;"")</f>
        <v/>
      </c>
      <c r="F438" s="292" t="str">
        <f ca="1">IF(ISERROR($S438),"",OFFSET('Smelter Reference List'!$E$4,$S438-4,0))</f>
        <v/>
      </c>
      <c r="G438" s="292" t="str">
        <f ca="1">IF(C438=$U$4,"Enter smelter details", IF(ISERROR($S438),"",OFFSET('Smelter Reference List'!$F$4,$S438-4,0)))</f>
        <v/>
      </c>
      <c r="H438" s="293" t="str">
        <f ca="1">IF(ISERROR($S438),"",OFFSET('Smelter Reference List'!$G$4,$S438-4,0))</f>
        <v/>
      </c>
      <c r="I438" s="294" t="str">
        <f ca="1">IF(ISERROR($S438),"",OFFSET('Smelter Reference List'!$H$4,$S438-4,0))</f>
        <v/>
      </c>
      <c r="J438" s="294" t="str">
        <f ca="1">IF(ISERROR($S438),"",OFFSET('Smelter Reference List'!$I$4,$S438-4,0))</f>
        <v/>
      </c>
      <c r="K438" s="295"/>
      <c r="L438" s="295"/>
      <c r="M438" s="295"/>
      <c r="N438" s="295"/>
      <c r="O438" s="295"/>
      <c r="P438" s="295"/>
      <c r="Q438" s="296"/>
      <c r="R438" s="227"/>
      <c r="S438" s="228" t="e">
        <f>IF(C438="",NA(),MATCH($B438&amp;$C438,'Smelter Reference List'!$J:$J,0))</f>
        <v>#N/A</v>
      </c>
      <c r="T438" s="229"/>
      <c r="U438" s="229">
        <f t="shared" ca="1" si="14"/>
        <v>0</v>
      </c>
      <c r="V438" s="229"/>
      <c r="W438" s="229"/>
      <c r="Y438" s="223" t="str">
        <f t="shared" si="15"/>
        <v/>
      </c>
    </row>
    <row r="439" spans="1:25" s="223" customFormat="1" ht="20.25">
      <c r="A439" s="291"/>
      <c r="B439" s="292" t="str">
        <f>IF(LEN(A439)=0,"",INDEX('Smelter Reference List'!$A:$A,MATCH($A439,'Smelter Reference List'!$E:$E,0)))</f>
        <v/>
      </c>
      <c r="C439" s="298" t="str">
        <f>IF(LEN(A439)=0,"",INDEX('Smelter Reference List'!$C:$C,MATCH($A439,'Smelter Reference List'!$E:$E,0)))</f>
        <v/>
      </c>
      <c r="D439" s="292" t="str">
        <f ca="1">IF(ISERROR($S439),"",OFFSET('Smelter Reference List'!$C$4,$S439-4,0)&amp;"")</f>
        <v/>
      </c>
      <c r="E439" s="292" t="str">
        <f ca="1">IF(ISERROR($S439),"",OFFSET('Smelter Reference List'!$D$4,$S439-4,0)&amp;"")</f>
        <v/>
      </c>
      <c r="F439" s="292" t="str">
        <f ca="1">IF(ISERROR($S439),"",OFFSET('Smelter Reference List'!$E$4,$S439-4,0))</f>
        <v/>
      </c>
      <c r="G439" s="292" t="str">
        <f ca="1">IF(C439=$U$4,"Enter smelter details", IF(ISERROR($S439),"",OFFSET('Smelter Reference List'!$F$4,$S439-4,0)))</f>
        <v/>
      </c>
      <c r="H439" s="293" t="str">
        <f ca="1">IF(ISERROR($S439),"",OFFSET('Smelter Reference List'!$G$4,$S439-4,0))</f>
        <v/>
      </c>
      <c r="I439" s="294" t="str">
        <f ca="1">IF(ISERROR($S439),"",OFFSET('Smelter Reference List'!$H$4,$S439-4,0))</f>
        <v/>
      </c>
      <c r="J439" s="294" t="str">
        <f ca="1">IF(ISERROR($S439),"",OFFSET('Smelter Reference List'!$I$4,$S439-4,0))</f>
        <v/>
      </c>
      <c r="K439" s="295"/>
      <c r="L439" s="295"/>
      <c r="M439" s="295"/>
      <c r="N439" s="295"/>
      <c r="O439" s="295"/>
      <c r="P439" s="295"/>
      <c r="Q439" s="296"/>
      <c r="R439" s="227"/>
      <c r="S439" s="228" t="e">
        <f>IF(C439="",NA(),MATCH($B439&amp;$C439,'Smelter Reference List'!$J:$J,0))</f>
        <v>#N/A</v>
      </c>
      <c r="T439" s="229"/>
      <c r="U439" s="229">
        <f t="shared" ca="1" si="14"/>
        <v>0</v>
      </c>
      <c r="V439" s="229"/>
      <c r="W439" s="229"/>
      <c r="Y439" s="223" t="str">
        <f t="shared" si="15"/>
        <v/>
      </c>
    </row>
    <row r="440" spans="1:25" s="223" customFormat="1" ht="20.25">
      <c r="A440" s="291"/>
      <c r="B440" s="292" t="str">
        <f>IF(LEN(A440)=0,"",INDEX('Smelter Reference List'!$A:$A,MATCH($A440,'Smelter Reference List'!$E:$E,0)))</f>
        <v/>
      </c>
      <c r="C440" s="298" t="str">
        <f>IF(LEN(A440)=0,"",INDEX('Smelter Reference List'!$C:$C,MATCH($A440,'Smelter Reference List'!$E:$E,0)))</f>
        <v/>
      </c>
      <c r="D440" s="292" t="str">
        <f ca="1">IF(ISERROR($S440),"",OFFSET('Smelter Reference List'!$C$4,$S440-4,0)&amp;"")</f>
        <v/>
      </c>
      <c r="E440" s="292" t="str">
        <f ca="1">IF(ISERROR($S440),"",OFFSET('Smelter Reference List'!$D$4,$S440-4,0)&amp;"")</f>
        <v/>
      </c>
      <c r="F440" s="292" t="str">
        <f ca="1">IF(ISERROR($S440),"",OFFSET('Smelter Reference List'!$E$4,$S440-4,0))</f>
        <v/>
      </c>
      <c r="G440" s="292" t="str">
        <f ca="1">IF(C440=$U$4,"Enter smelter details", IF(ISERROR($S440),"",OFFSET('Smelter Reference List'!$F$4,$S440-4,0)))</f>
        <v/>
      </c>
      <c r="H440" s="293" t="str">
        <f ca="1">IF(ISERROR($S440),"",OFFSET('Smelter Reference List'!$G$4,$S440-4,0))</f>
        <v/>
      </c>
      <c r="I440" s="294" t="str">
        <f ca="1">IF(ISERROR($S440),"",OFFSET('Smelter Reference List'!$H$4,$S440-4,0))</f>
        <v/>
      </c>
      <c r="J440" s="294" t="str">
        <f ca="1">IF(ISERROR($S440),"",OFFSET('Smelter Reference List'!$I$4,$S440-4,0))</f>
        <v/>
      </c>
      <c r="K440" s="295"/>
      <c r="L440" s="295"/>
      <c r="M440" s="295"/>
      <c r="N440" s="295"/>
      <c r="O440" s="295"/>
      <c r="P440" s="295"/>
      <c r="Q440" s="296"/>
      <c r="R440" s="227"/>
      <c r="S440" s="228" t="e">
        <f>IF(C440="",NA(),MATCH($B440&amp;$C440,'Smelter Reference List'!$J:$J,0))</f>
        <v>#N/A</v>
      </c>
      <c r="T440" s="229"/>
      <c r="U440" s="229">
        <f t="shared" ca="1" si="14"/>
        <v>0</v>
      </c>
      <c r="V440" s="229"/>
      <c r="W440" s="229"/>
      <c r="Y440" s="223" t="str">
        <f t="shared" si="15"/>
        <v/>
      </c>
    </row>
    <row r="441" spans="1:25" s="223" customFormat="1" ht="20.25">
      <c r="A441" s="291"/>
      <c r="B441" s="292" t="str">
        <f>IF(LEN(A441)=0,"",INDEX('Smelter Reference List'!$A:$A,MATCH($A441,'Smelter Reference List'!$E:$E,0)))</f>
        <v/>
      </c>
      <c r="C441" s="298" t="str">
        <f>IF(LEN(A441)=0,"",INDEX('Smelter Reference List'!$C:$C,MATCH($A441,'Smelter Reference List'!$E:$E,0)))</f>
        <v/>
      </c>
      <c r="D441" s="292" t="str">
        <f ca="1">IF(ISERROR($S441),"",OFFSET('Smelter Reference List'!$C$4,$S441-4,0)&amp;"")</f>
        <v/>
      </c>
      <c r="E441" s="292" t="str">
        <f ca="1">IF(ISERROR($S441),"",OFFSET('Smelter Reference List'!$D$4,$S441-4,0)&amp;"")</f>
        <v/>
      </c>
      <c r="F441" s="292" t="str">
        <f ca="1">IF(ISERROR($S441),"",OFFSET('Smelter Reference List'!$E$4,$S441-4,0))</f>
        <v/>
      </c>
      <c r="G441" s="292" t="str">
        <f ca="1">IF(C441=$U$4,"Enter smelter details", IF(ISERROR($S441),"",OFFSET('Smelter Reference List'!$F$4,$S441-4,0)))</f>
        <v/>
      </c>
      <c r="H441" s="293" t="str">
        <f ca="1">IF(ISERROR($S441),"",OFFSET('Smelter Reference List'!$G$4,$S441-4,0))</f>
        <v/>
      </c>
      <c r="I441" s="294" t="str">
        <f ca="1">IF(ISERROR($S441),"",OFFSET('Smelter Reference List'!$H$4,$S441-4,0))</f>
        <v/>
      </c>
      <c r="J441" s="294" t="str">
        <f ca="1">IF(ISERROR($S441),"",OFFSET('Smelter Reference List'!$I$4,$S441-4,0))</f>
        <v/>
      </c>
      <c r="K441" s="295"/>
      <c r="L441" s="295"/>
      <c r="M441" s="295"/>
      <c r="N441" s="295"/>
      <c r="O441" s="295"/>
      <c r="P441" s="295"/>
      <c r="Q441" s="296"/>
      <c r="R441" s="227"/>
      <c r="S441" s="228" t="e">
        <f>IF(C441="",NA(),MATCH($B441&amp;$C441,'Smelter Reference List'!$J:$J,0))</f>
        <v>#N/A</v>
      </c>
      <c r="T441" s="229"/>
      <c r="U441" s="229">
        <f t="shared" ca="1" si="14"/>
        <v>0</v>
      </c>
      <c r="V441" s="229"/>
      <c r="W441" s="229"/>
      <c r="Y441" s="223" t="str">
        <f t="shared" si="15"/>
        <v/>
      </c>
    </row>
    <row r="442" spans="1:25" s="223" customFormat="1" ht="20.25">
      <c r="A442" s="291"/>
      <c r="B442" s="292" t="str">
        <f>IF(LEN(A442)=0,"",INDEX('Smelter Reference List'!$A:$A,MATCH($A442,'Smelter Reference List'!$E:$E,0)))</f>
        <v/>
      </c>
      <c r="C442" s="298" t="str">
        <f>IF(LEN(A442)=0,"",INDEX('Smelter Reference List'!$C:$C,MATCH($A442,'Smelter Reference List'!$E:$E,0)))</f>
        <v/>
      </c>
      <c r="D442" s="292" t="str">
        <f ca="1">IF(ISERROR($S442),"",OFFSET('Smelter Reference List'!$C$4,$S442-4,0)&amp;"")</f>
        <v/>
      </c>
      <c r="E442" s="292" t="str">
        <f ca="1">IF(ISERROR($S442),"",OFFSET('Smelter Reference List'!$D$4,$S442-4,0)&amp;"")</f>
        <v/>
      </c>
      <c r="F442" s="292" t="str">
        <f ca="1">IF(ISERROR($S442),"",OFFSET('Smelter Reference List'!$E$4,$S442-4,0))</f>
        <v/>
      </c>
      <c r="G442" s="292" t="str">
        <f ca="1">IF(C442=$U$4,"Enter smelter details", IF(ISERROR($S442),"",OFFSET('Smelter Reference List'!$F$4,$S442-4,0)))</f>
        <v/>
      </c>
      <c r="H442" s="293" t="str">
        <f ca="1">IF(ISERROR($S442),"",OFFSET('Smelter Reference List'!$G$4,$S442-4,0))</f>
        <v/>
      </c>
      <c r="I442" s="294" t="str">
        <f ca="1">IF(ISERROR($S442),"",OFFSET('Smelter Reference List'!$H$4,$S442-4,0))</f>
        <v/>
      </c>
      <c r="J442" s="294" t="str">
        <f ca="1">IF(ISERROR($S442),"",OFFSET('Smelter Reference List'!$I$4,$S442-4,0))</f>
        <v/>
      </c>
      <c r="K442" s="295"/>
      <c r="L442" s="295"/>
      <c r="M442" s="295"/>
      <c r="N442" s="295"/>
      <c r="O442" s="295"/>
      <c r="P442" s="295"/>
      <c r="Q442" s="296"/>
      <c r="R442" s="227"/>
      <c r="S442" s="228" t="e">
        <f>IF(C442="",NA(),MATCH($B442&amp;$C442,'Smelter Reference List'!$J:$J,0))</f>
        <v>#N/A</v>
      </c>
      <c r="T442" s="229"/>
      <c r="U442" s="229">
        <f t="shared" ca="1" si="14"/>
        <v>0</v>
      </c>
      <c r="V442" s="229"/>
      <c r="W442" s="229"/>
      <c r="Y442" s="223" t="str">
        <f t="shared" si="15"/>
        <v/>
      </c>
    </row>
    <row r="443" spans="1:25" s="223" customFormat="1" ht="20.25">
      <c r="A443" s="291"/>
      <c r="B443" s="292" t="str">
        <f>IF(LEN(A443)=0,"",INDEX('Smelter Reference List'!$A:$A,MATCH($A443,'Smelter Reference List'!$E:$E,0)))</f>
        <v/>
      </c>
      <c r="C443" s="298" t="str">
        <f>IF(LEN(A443)=0,"",INDEX('Smelter Reference List'!$C:$C,MATCH($A443,'Smelter Reference List'!$E:$E,0)))</f>
        <v/>
      </c>
      <c r="D443" s="292" t="str">
        <f ca="1">IF(ISERROR($S443),"",OFFSET('Smelter Reference List'!$C$4,$S443-4,0)&amp;"")</f>
        <v/>
      </c>
      <c r="E443" s="292" t="str">
        <f ca="1">IF(ISERROR($S443),"",OFFSET('Smelter Reference List'!$D$4,$S443-4,0)&amp;"")</f>
        <v/>
      </c>
      <c r="F443" s="292" t="str">
        <f ca="1">IF(ISERROR($S443),"",OFFSET('Smelter Reference List'!$E$4,$S443-4,0))</f>
        <v/>
      </c>
      <c r="G443" s="292" t="str">
        <f ca="1">IF(C443=$U$4,"Enter smelter details", IF(ISERROR($S443),"",OFFSET('Smelter Reference List'!$F$4,$S443-4,0)))</f>
        <v/>
      </c>
      <c r="H443" s="293" t="str">
        <f ca="1">IF(ISERROR($S443),"",OFFSET('Smelter Reference List'!$G$4,$S443-4,0))</f>
        <v/>
      </c>
      <c r="I443" s="294" t="str">
        <f ca="1">IF(ISERROR($S443),"",OFFSET('Smelter Reference List'!$H$4,$S443-4,0))</f>
        <v/>
      </c>
      <c r="J443" s="294" t="str">
        <f ca="1">IF(ISERROR($S443),"",OFFSET('Smelter Reference List'!$I$4,$S443-4,0))</f>
        <v/>
      </c>
      <c r="K443" s="295"/>
      <c r="L443" s="295"/>
      <c r="M443" s="295"/>
      <c r="N443" s="295"/>
      <c r="O443" s="295"/>
      <c r="P443" s="295"/>
      <c r="Q443" s="296"/>
      <c r="R443" s="227"/>
      <c r="S443" s="228" t="e">
        <f>IF(C443="",NA(),MATCH($B443&amp;$C443,'Smelter Reference List'!$J:$J,0))</f>
        <v>#N/A</v>
      </c>
      <c r="T443" s="229"/>
      <c r="U443" s="229">
        <f t="shared" ca="1" si="14"/>
        <v>0</v>
      </c>
      <c r="V443" s="229"/>
      <c r="W443" s="229"/>
      <c r="Y443" s="223" t="str">
        <f t="shared" si="15"/>
        <v/>
      </c>
    </row>
    <row r="444" spans="1:25" s="223" customFormat="1" ht="20.25">
      <c r="A444" s="291"/>
      <c r="B444" s="292" t="str">
        <f>IF(LEN(A444)=0,"",INDEX('Smelter Reference List'!$A:$A,MATCH($A444,'Smelter Reference List'!$E:$E,0)))</f>
        <v/>
      </c>
      <c r="C444" s="298" t="str">
        <f>IF(LEN(A444)=0,"",INDEX('Smelter Reference List'!$C:$C,MATCH($A444,'Smelter Reference List'!$E:$E,0)))</f>
        <v/>
      </c>
      <c r="D444" s="292" t="str">
        <f ca="1">IF(ISERROR($S444),"",OFFSET('Smelter Reference List'!$C$4,$S444-4,0)&amp;"")</f>
        <v/>
      </c>
      <c r="E444" s="292" t="str">
        <f ca="1">IF(ISERROR($S444),"",OFFSET('Smelter Reference List'!$D$4,$S444-4,0)&amp;"")</f>
        <v/>
      </c>
      <c r="F444" s="292" t="str">
        <f ca="1">IF(ISERROR($S444),"",OFFSET('Smelter Reference List'!$E$4,$S444-4,0))</f>
        <v/>
      </c>
      <c r="G444" s="292" t="str">
        <f ca="1">IF(C444=$U$4,"Enter smelter details", IF(ISERROR($S444),"",OFFSET('Smelter Reference List'!$F$4,$S444-4,0)))</f>
        <v/>
      </c>
      <c r="H444" s="293" t="str">
        <f ca="1">IF(ISERROR($S444),"",OFFSET('Smelter Reference List'!$G$4,$S444-4,0))</f>
        <v/>
      </c>
      <c r="I444" s="294" t="str">
        <f ca="1">IF(ISERROR($S444),"",OFFSET('Smelter Reference List'!$H$4,$S444-4,0))</f>
        <v/>
      </c>
      <c r="J444" s="294" t="str">
        <f ca="1">IF(ISERROR($S444),"",OFFSET('Smelter Reference List'!$I$4,$S444-4,0))</f>
        <v/>
      </c>
      <c r="K444" s="295"/>
      <c r="L444" s="295"/>
      <c r="M444" s="295"/>
      <c r="N444" s="295"/>
      <c r="O444" s="295"/>
      <c r="P444" s="295"/>
      <c r="Q444" s="296"/>
      <c r="R444" s="227"/>
      <c r="S444" s="228" t="e">
        <f>IF(C444="",NA(),MATCH($B444&amp;$C444,'Smelter Reference List'!$J:$J,0))</f>
        <v>#N/A</v>
      </c>
      <c r="T444" s="229"/>
      <c r="U444" s="229">
        <f t="shared" ca="1" si="14"/>
        <v>0</v>
      </c>
      <c r="V444" s="229"/>
      <c r="W444" s="229"/>
      <c r="Y444" s="223" t="str">
        <f t="shared" si="15"/>
        <v/>
      </c>
    </row>
    <row r="445" spans="1:25" s="223" customFormat="1" ht="20.25">
      <c r="A445" s="291"/>
      <c r="B445" s="292" t="str">
        <f>IF(LEN(A445)=0,"",INDEX('Smelter Reference List'!$A:$A,MATCH($A445,'Smelter Reference List'!$E:$E,0)))</f>
        <v/>
      </c>
      <c r="C445" s="298" t="str">
        <f>IF(LEN(A445)=0,"",INDEX('Smelter Reference List'!$C:$C,MATCH($A445,'Smelter Reference List'!$E:$E,0)))</f>
        <v/>
      </c>
      <c r="D445" s="292" t="str">
        <f ca="1">IF(ISERROR($S445),"",OFFSET('Smelter Reference List'!$C$4,$S445-4,0)&amp;"")</f>
        <v/>
      </c>
      <c r="E445" s="292" t="str">
        <f ca="1">IF(ISERROR($S445),"",OFFSET('Smelter Reference List'!$D$4,$S445-4,0)&amp;"")</f>
        <v/>
      </c>
      <c r="F445" s="292" t="str">
        <f ca="1">IF(ISERROR($S445),"",OFFSET('Smelter Reference List'!$E$4,$S445-4,0))</f>
        <v/>
      </c>
      <c r="G445" s="292" t="str">
        <f ca="1">IF(C445=$U$4,"Enter smelter details", IF(ISERROR($S445),"",OFFSET('Smelter Reference List'!$F$4,$S445-4,0)))</f>
        <v/>
      </c>
      <c r="H445" s="293" t="str">
        <f ca="1">IF(ISERROR($S445),"",OFFSET('Smelter Reference List'!$G$4,$S445-4,0))</f>
        <v/>
      </c>
      <c r="I445" s="294" t="str">
        <f ca="1">IF(ISERROR($S445),"",OFFSET('Smelter Reference List'!$H$4,$S445-4,0))</f>
        <v/>
      </c>
      <c r="J445" s="294" t="str">
        <f ca="1">IF(ISERROR($S445),"",OFFSET('Smelter Reference List'!$I$4,$S445-4,0))</f>
        <v/>
      </c>
      <c r="K445" s="295"/>
      <c r="L445" s="295"/>
      <c r="M445" s="295"/>
      <c r="N445" s="295"/>
      <c r="O445" s="295"/>
      <c r="P445" s="295"/>
      <c r="Q445" s="296"/>
      <c r="R445" s="227"/>
      <c r="S445" s="228" t="e">
        <f>IF(C445="",NA(),MATCH($B445&amp;$C445,'Smelter Reference List'!$J:$J,0))</f>
        <v>#N/A</v>
      </c>
      <c r="T445" s="229"/>
      <c r="U445" s="229">
        <f t="shared" ca="1" si="14"/>
        <v>0</v>
      </c>
      <c r="V445" s="229"/>
      <c r="W445" s="229"/>
      <c r="Y445" s="223" t="str">
        <f t="shared" si="15"/>
        <v/>
      </c>
    </row>
    <row r="446" spans="1:25" s="223" customFormat="1" ht="20.25">
      <c r="A446" s="291"/>
      <c r="B446" s="292" t="str">
        <f>IF(LEN(A446)=0,"",INDEX('Smelter Reference List'!$A:$A,MATCH($A446,'Smelter Reference List'!$E:$E,0)))</f>
        <v/>
      </c>
      <c r="C446" s="298" t="str">
        <f>IF(LEN(A446)=0,"",INDEX('Smelter Reference List'!$C:$C,MATCH($A446,'Smelter Reference List'!$E:$E,0)))</f>
        <v/>
      </c>
      <c r="D446" s="292" t="str">
        <f ca="1">IF(ISERROR($S446),"",OFFSET('Smelter Reference List'!$C$4,$S446-4,0)&amp;"")</f>
        <v/>
      </c>
      <c r="E446" s="292" t="str">
        <f ca="1">IF(ISERROR($S446),"",OFFSET('Smelter Reference List'!$D$4,$S446-4,0)&amp;"")</f>
        <v/>
      </c>
      <c r="F446" s="292" t="str">
        <f ca="1">IF(ISERROR($S446),"",OFFSET('Smelter Reference List'!$E$4,$S446-4,0))</f>
        <v/>
      </c>
      <c r="G446" s="292" t="str">
        <f ca="1">IF(C446=$U$4,"Enter smelter details", IF(ISERROR($S446),"",OFFSET('Smelter Reference List'!$F$4,$S446-4,0)))</f>
        <v/>
      </c>
      <c r="H446" s="293" t="str">
        <f ca="1">IF(ISERROR($S446),"",OFFSET('Smelter Reference List'!$G$4,$S446-4,0))</f>
        <v/>
      </c>
      <c r="I446" s="294" t="str">
        <f ca="1">IF(ISERROR($S446),"",OFFSET('Smelter Reference List'!$H$4,$S446-4,0))</f>
        <v/>
      </c>
      <c r="J446" s="294" t="str">
        <f ca="1">IF(ISERROR($S446),"",OFFSET('Smelter Reference List'!$I$4,$S446-4,0))</f>
        <v/>
      </c>
      <c r="K446" s="295"/>
      <c r="L446" s="295"/>
      <c r="M446" s="295"/>
      <c r="N446" s="295"/>
      <c r="O446" s="295"/>
      <c r="P446" s="295"/>
      <c r="Q446" s="296"/>
      <c r="R446" s="227"/>
      <c r="S446" s="228" t="e">
        <f>IF(C446="",NA(),MATCH($B446&amp;$C446,'Smelter Reference List'!$J:$J,0))</f>
        <v>#N/A</v>
      </c>
      <c r="T446" s="229"/>
      <c r="U446" s="229">
        <f t="shared" ca="1" si="14"/>
        <v>0</v>
      </c>
      <c r="V446" s="229"/>
      <c r="W446" s="229"/>
      <c r="Y446" s="223" t="str">
        <f t="shared" si="15"/>
        <v/>
      </c>
    </row>
    <row r="447" spans="1:25" s="223" customFormat="1" ht="20.25">
      <c r="A447" s="291"/>
      <c r="B447" s="292" t="str">
        <f>IF(LEN(A447)=0,"",INDEX('Smelter Reference List'!$A:$A,MATCH($A447,'Smelter Reference List'!$E:$E,0)))</f>
        <v/>
      </c>
      <c r="C447" s="298" t="str">
        <f>IF(LEN(A447)=0,"",INDEX('Smelter Reference List'!$C:$C,MATCH($A447,'Smelter Reference List'!$E:$E,0)))</f>
        <v/>
      </c>
      <c r="D447" s="292" t="str">
        <f ca="1">IF(ISERROR($S447),"",OFFSET('Smelter Reference List'!$C$4,$S447-4,0)&amp;"")</f>
        <v/>
      </c>
      <c r="E447" s="292" t="str">
        <f ca="1">IF(ISERROR($S447),"",OFFSET('Smelter Reference List'!$D$4,$S447-4,0)&amp;"")</f>
        <v/>
      </c>
      <c r="F447" s="292" t="str">
        <f ca="1">IF(ISERROR($S447),"",OFFSET('Smelter Reference List'!$E$4,$S447-4,0))</f>
        <v/>
      </c>
      <c r="G447" s="292" t="str">
        <f ca="1">IF(C447=$U$4,"Enter smelter details", IF(ISERROR($S447),"",OFFSET('Smelter Reference List'!$F$4,$S447-4,0)))</f>
        <v/>
      </c>
      <c r="H447" s="293" t="str">
        <f ca="1">IF(ISERROR($S447),"",OFFSET('Smelter Reference List'!$G$4,$S447-4,0))</f>
        <v/>
      </c>
      <c r="I447" s="294" t="str">
        <f ca="1">IF(ISERROR($S447),"",OFFSET('Smelter Reference List'!$H$4,$S447-4,0))</f>
        <v/>
      </c>
      <c r="J447" s="294" t="str">
        <f ca="1">IF(ISERROR($S447),"",OFFSET('Smelter Reference List'!$I$4,$S447-4,0))</f>
        <v/>
      </c>
      <c r="K447" s="295"/>
      <c r="L447" s="295"/>
      <c r="M447" s="295"/>
      <c r="N447" s="295"/>
      <c r="O447" s="295"/>
      <c r="P447" s="295"/>
      <c r="Q447" s="296"/>
      <c r="R447" s="227"/>
      <c r="S447" s="228" t="e">
        <f>IF(C447="",NA(),MATCH($B447&amp;$C447,'Smelter Reference List'!$J:$J,0))</f>
        <v>#N/A</v>
      </c>
      <c r="T447" s="229"/>
      <c r="U447" s="229">
        <f t="shared" ca="1" si="14"/>
        <v>0</v>
      </c>
      <c r="V447" s="229"/>
      <c r="W447" s="229"/>
      <c r="Y447" s="223" t="str">
        <f t="shared" si="15"/>
        <v/>
      </c>
    </row>
    <row r="448" spans="1:25" s="223" customFormat="1" ht="20.25">
      <c r="A448" s="291"/>
      <c r="B448" s="292" t="str">
        <f>IF(LEN(A448)=0,"",INDEX('Smelter Reference List'!$A:$A,MATCH($A448,'Smelter Reference List'!$E:$E,0)))</f>
        <v/>
      </c>
      <c r="C448" s="298" t="str">
        <f>IF(LEN(A448)=0,"",INDEX('Smelter Reference List'!$C:$C,MATCH($A448,'Smelter Reference List'!$E:$E,0)))</f>
        <v/>
      </c>
      <c r="D448" s="292" t="str">
        <f ca="1">IF(ISERROR($S448),"",OFFSET('Smelter Reference List'!$C$4,$S448-4,0)&amp;"")</f>
        <v/>
      </c>
      <c r="E448" s="292" t="str">
        <f ca="1">IF(ISERROR($S448),"",OFFSET('Smelter Reference List'!$D$4,$S448-4,0)&amp;"")</f>
        <v/>
      </c>
      <c r="F448" s="292" t="str">
        <f ca="1">IF(ISERROR($S448),"",OFFSET('Smelter Reference List'!$E$4,$S448-4,0))</f>
        <v/>
      </c>
      <c r="G448" s="292" t="str">
        <f ca="1">IF(C448=$U$4,"Enter smelter details", IF(ISERROR($S448),"",OFFSET('Smelter Reference List'!$F$4,$S448-4,0)))</f>
        <v/>
      </c>
      <c r="H448" s="293" t="str">
        <f ca="1">IF(ISERROR($S448),"",OFFSET('Smelter Reference List'!$G$4,$S448-4,0))</f>
        <v/>
      </c>
      <c r="I448" s="294" t="str">
        <f ca="1">IF(ISERROR($S448),"",OFFSET('Smelter Reference List'!$H$4,$S448-4,0))</f>
        <v/>
      </c>
      <c r="J448" s="294" t="str">
        <f ca="1">IF(ISERROR($S448),"",OFFSET('Smelter Reference List'!$I$4,$S448-4,0))</f>
        <v/>
      </c>
      <c r="K448" s="295"/>
      <c r="L448" s="295"/>
      <c r="M448" s="295"/>
      <c r="N448" s="295"/>
      <c r="O448" s="295"/>
      <c r="P448" s="295"/>
      <c r="Q448" s="296"/>
      <c r="R448" s="227"/>
      <c r="S448" s="228" t="e">
        <f>IF(C448="",NA(),MATCH($B448&amp;$C448,'Smelter Reference List'!$J:$J,0))</f>
        <v>#N/A</v>
      </c>
      <c r="T448" s="229"/>
      <c r="U448" s="229">
        <f t="shared" ca="1" si="14"/>
        <v>0</v>
      </c>
      <c r="V448" s="229"/>
      <c r="W448" s="229"/>
      <c r="Y448" s="223" t="str">
        <f t="shared" si="15"/>
        <v/>
      </c>
    </row>
    <row r="449" spans="1:25" s="223" customFormat="1" ht="20.25">
      <c r="A449" s="291"/>
      <c r="B449" s="292" t="str">
        <f>IF(LEN(A449)=0,"",INDEX('Smelter Reference List'!$A:$A,MATCH($A449,'Smelter Reference List'!$E:$E,0)))</f>
        <v/>
      </c>
      <c r="C449" s="298" t="str">
        <f>IF(LEN(A449)=0,"",INDEX('Smelter Reference List'!$C:$C,MATCH($A449,'Smelter Reference List'!$E:$E,0)))</f>
        <v/>
      </c>
      <c r="D449" s="292" t="str">
        <f ca="1">IF(ISERROR($S449),"",OFFSET('Smelter Reference List'!$C$4,$S449-4,0)&amp;"")</f>
        <v/>
      </c>
      <c r="E449" s="292" t="str">
        <f ca="1">IF(ISERROR($S449),"",OFFSET('Smelter Reference List'!$D$4,$S449-4,0)&amp;"")</f>
        <v/>
      </c>
      <c r="F449" s="292" t="str">
        <f ca="1">IF(ISERROR($S449),"",OFFSET('Smelter Reference List'!$E$4,$S449-4,0))</f>
        <v/>
      </c>
      <c r="G449" s="292" t="str">
        <f ca="1">IF(C449=$U$4,"Enter smelter details", IF(ISERROR($S449),"",OFFSET('Smelter Reference List'!$F$4,$S449-4,0)))</f>
        <v/>
      </c>
      <c r="H449" s="293" t="str">
        <f ca="1">IF(ISERROR($S449),"",OFFSET('Smelter Reference List'!$G$4,$S449-4,0))</f>
        <v/>
      </c>
      <c r="I449" s="294" t="str">
        <f ca="1">IF(ISERROR($S449),"",OFFSET('Smelter Reference List'!$H$4,$S449-4,0))</f>
        <v/>
      </c>
      <c r="J449" s="294" t="str">
        <f ca="1">IF(ISERROR($S449),"",OFFSET('Smelter Reference List'!$I$4,$S449-4,0))</f>
        <v/>
      </c>
      <c r="K449" s="295"/>
      <c r="L449" s="295"/>
      <c r="M449" s="295"/>
      <c r="N449" s="295"/>
      <c r="O449" s="295"/>
      <c r="P449" s="295"/>
      <c r="Q449" s="296"/>
      <c r="R449" s="227"/>
      <c r="S449" s="228" t="e">
        <f>IF(C449="",NA(),MATCH($B449&amp;$C449,'Smelter Reference List'!$J:$J,0))</f>
        <v>#N/A</v>
      </c>
      <c r="T449" s="229"/>
      <c r="U449" s="229">
        <f t="shared" ca="1" si="14"/>
        <v>0</v>
      </c>
      <c r="V449" s="229"/>
      <c r="W449" s="229"/>
      <c r="Y449" s="223" t="str">
        <f t="shared" si="15"/>
        <v/>
      </c>
    </row>
    <row r="450" spans="1:25" s="223" customFormat="1" ht="20.25">
      <c r="A450" s="291"/>
      <c r="B450" s="292" t="str">
        <f>IF(LEN(A450)=0,"",INDEX('Smelter Reference List'!$A:$A,MATCH($A450,'Smelter Reference List'!$E:$E,0)))</f>
        <v/>
      </c>
      <c r="C450" s="298" t="str">
        <f>IF(LEN(A450)=0,"",INDEX('Smelter Reference List'!$C:$C,MATCH($A450,'Smelter Reference List'!$E:$E,0)))</f>
        <v/>
      </c>
      <c r="D450" s="292" t="str">
        <f ca="1">IF(ISERROR($S450),"",OFFSET('Smelter Reference List'!$C$4,$S450-4,0)&amp;"")</f>
        <v/>
      </c>
      <c r="E450" s="292" t="str">
        <f ca="1">IF(ISERROR($S450),"",OFFSET('Smelter Reference List'!$D$4,$S450-4,0)&amp;"")</f>
        <v/>
      </c>
      <c r="F450" s="292" t="str">
        <f ca="1">IF(ISERROR($S450),"",OFFSET('Smelter Reference List'!$E$4,$S450-4,0))</f>
        <v/>
      </c>
      <c r="G450" s="292" t="str">
        <f ca="1">IF(C450=$U$4,"Enter smelter details", IF(ISERROR($S450),"",OFFSET('Smelter Reference List'!$F$4,$S450-4,0)))</f>
        <v/>
      </c>
      <c r="H450" s="293" t="str">
        <f ca="1">IF(ISERROR($S450),"",OFFSET('Smelter Reference List'!$G$4,$S450-4,0))</f>
        <v/>
      </c>
      <c r="I450" s="294" t="str">
        <f ca="1">IF(ISERROR($S450),"",OFFSET('Smelter Reference List'!$H$4,$S450-4,0))</f>
        <v/>
      </c>
      <c r="J450" s="294" t="str">
        <f ca="1">IF(ISERROR($S450),"",OFFSET('Smelter Reference List'!$I$4,$S450-4,0))</f>
        <v/>
      </c>
      <c r="K450" s="295"/>
      <c r="L450" s="295"/>
      <c r="M450" s="295"/>
      <c r="N450" s="295"/>
      <c r="O450" s="295"/>
      <c r="P450" s="295"/>
      <c r="Q450" s="296"/>
      <c r="R450" s="227"/>
      <c r="S450" s="228" t="e">
        <f>IF(C450="",NA(),MATCH($B450&amp;$C450,'Smelter Reference List'!$J:$J,0))</f>
        <v>#N/A</v>
      </c>
      <c r="T450" s="229"/>
      <c r="U450" s="229">
        <f t="shared" ca="1" si="14"/>
        <v>0</v>
      </c>
      <c r="V450" s="229"/>
      <c r="W450" s="229"/>
      <c r="Y450" s="223" t="str">
        <f t="shared" si="15"/>
        <v/>
      </c>
    </row>
    <row r="451" spans="1:25" s="223" customFormat="1" ht="20.25">
      <c r="A451" s="291"/>
      <c r="B451" s="292" t="str">
        <f>IF(LEN(A451)=0,"",INDEX('Smelter Reference List'!$A:$A,MATCH($A451,'Smelter Reference List'!$E:$E,0)))</f>
        <v/>
      </c>
      <c r="C451" s="298" t="str">
        <f>IF(LEN(A451)=0,"",INDEX('Smelter Reference List'!$C:$C,MATCH($A451,'Smelter Reference List'!$E:$E,0)))</f>
        <v/>
      </c>
      <c r="D451" s="292" t="str">
        <f ca="1">IF(ISERROR($S451),"",OFFSET('Smelter Reference List'!$C$4,$S451-4,0)&amp;"")</f>
        <v/>
      </c>
      <c r="E451" s="292" t="str">
        <f ca="1">IF(ISERROR($S451),"",OFFSET('Smelter Reference List'!$D$4,$S451-4,0)&amp;"")</f>
        <v/>
      </c>
      <c r="F451" s="292" t="str">
        <f ca="1">IF(ISERROR($S451),"",OFFSET('Smelter Reference List'!$E$4,$S451-4,0))</f>
        <v/>
      </c>
      <c r="G451" s="292" t="str">
        <f ca="1">IF(C451=$U$4,"Enter smelter details", IF(ISERROR($S451),"",OFFSET('Smelter Reference List'!$F$4,$S451-4,0)))</f>
        <v/>
      </c>
      <c r="H451" s="293" t="str">
        <f ca="1">IF(ISERROR($S451),"",OFFSET('Smelter Reference List'!$G$4,$S451-4,0))</f>
        <v/>
      </c>
      <c r="I451" s="294" t="str">
        <f ca="1">IF(ISERROR($S451),"",OFFSET('Smelter Reference List'!$H$4,$S451-4,0))</f>
        <v/>
      </c>
      <c r="J451" s="294" t="str">
        <f ca="1">IF(ISERROR($S451),"",OFFSET('Smelter Reference List'!$I$4,$S451-4,0))</f>
        <v/>
      </c>
      <c r="K451" s="295"/>
      <c r="L451" s="295"/>
      <c r="M451" s="295"/>
      <c r="N451" s="295"/>
      <c r="O451" s="295"/>
      <c r="P451" s="295"/>
      <c r="Q451" s="296"/>
      <c r="R451" s="227"/>
      <c r="S451" s="228" t="e">
        <f>IF(C451="",NA(),MATCH($B451&amp;$C451,'Smelter Reference List'!$J:$J,0))</f>
        <v>#N/A</v>
      </c>
      <c r="T451" s="229"/>
      <c r="U451" s="229">
        <f t="shared" ca="1" si="14"/>
        <v>0</v>
      </c>
      <c r="V451" s="229"/>
      <c r="W451" s="229"/>
      <c r="Y451" s="223" t="str">
        <f t="shared" si="15"/>
        <v/>
      </c>
    </row>
    <row r="452" spans="1:25" s="223" customFormat="1" ht="20.25">
      <c r="A452" s="291"/>
      <c r="B452" s="292" t="str">
        <f>IF(LEN(A452)=0,"",INDEX('Smelter Reference List'!$A:$A,MATCH($A452,'Smelter Reference List'!$E:$E,0)))</f>
        <v/>
      </c>
      <c r="C452" s="298" t="str">
        <f>IF(LEN(A452)=0,"",INDEX('Smelter Reference List'!$C:$C,MATCH($A452,'Smelter Reference List'!$E:$E,0)))</f>
        <v/>
      </c>
      <c r="D452" s="292" t="str">
        <f ca="1">IF(ISERROR($S452),"",OFFSET('Smelter Reference List'!$C$4,$S452-4,0)&amp;"")</f>
        <v/>
      </c>
      <c r="E452" s="292" t="str">
        <f ca="1">IF(ISERROR($S452),"",OFFSET('Smelter Reference List'!$D$4,$S452-4,0)&amp;"")</f>
        <v/>
      </c>
      <c r="F452" s="292" t="str">
        <f ca="1">IF(ISERROR($S452),"",OFFSET('Smelter Reference List'!$E$4,$S452-4,0))</f>
        <v/>
      </c>
      <c r="G452" s="292" t="str">
        <f ca="1">IF(C452=$U$4,"Enter smelter details", IF(ISERROR($S452),"",OFFSET('Smelter Reference List'!$F$4,$S452-4,0)))</f>
        <v/>
      </c>
      <c r="H452" s="293" t="str">
        <f ca="1">IF(ISERROR($S452),"",OFFSET('Smelter Reference List'!$G$4,$S452-4,0))</f>
        <v/>
      </c>
      <c r="I452" s="294" t="str">
        <f ca="1">IF(ISERROR($S452),"",OFFSET('Smelter Reference List'!$H$4,$S452-4,0))</f>
        <v/>
      </c>
      <c r="J452" s="294" t="str">
        <f ca="1">IF(ISERROR($S452),"",OFFSET('Smelter Reference List'!$I$4,$S452-4,0))</f>
        <v/>
      </c>
      <c r="K452" s="295"/>
      <c r="L452" s="295"/>
      <c r="M452" s="295"/>
      <c r="N452" s="295"/>
      <c r="O452" s="295"/>
      <c r="P452" s="295"/>
      <c r="Q452" s="296"/>
      <c r="R452" s="227"/>
      <c r="S452" s="228" t="e">
        <f>IF(C452="",NA(),MATCH($B452&amp;$C452,'Smelter Reference List'!$J:$J,0))</f>
        <v>#N/A</v>
      </c>
      <c r="T452" s="229"/>
      <c r="U452" s="229">
        <f t="shared" ca="1" si="14"/>
        <v>0</v>
      </c>
      <c r="V452" s="229"/>
      <c r="W452" s="229"/>
      <c r="Y452" s="223" t="str">
        <f t="shared" si="15"/>
        <v/>
      </c>
    </row>
    <row r="453" spans="1:25" s="223" customFormat="1" ht="20.25">
      <c r="A453" s="291"/>
      <c r="B453" s="292" t="str">
        <f>IF(LEN(A453)=0,"",INDEX('Smelter Reference List'!$A:$A,MATCH($A453,'Smelter Reference List'!$E:$E,0)))</f>
        <v/>
      </c>
      <c r="C453" s="298" t="str">
        <f>IF(LEN(A453)=0,"",INDEX('Smelter Reference List'!$C:$C,MATCH($A453,'Smelter Reference List'!$E:$E,0)))</f>
        <v/>
      </c>
      <c r="D453" s="292" t="str">
        <f ca="1">IF(ISERROR($S453),"",OFFSET('Smelter Reference List'!$C$4,$S453-4,0)&amp;"")</f>
        <v/>
      </c>
      <c r="E453" s="292" t="str">
        <f ca="1">IF(ISERROR($S453),"",OFFSET('Smelter Reference List'!$D$4,$S453-4,0)&amp;"")</f>
        <v/>
      </c>
      <c r="F453" s="292" t="str">
        <f ca="1">IF(ISERROR($S453),"",OFFSET('Smelter Reference List'!$E$4,$S453-4,0))</f>
        <v/>
      </c>
      <c r="G453" s="292" t="str">
        <f ca="1">IF(C453=$U$4,"Enter smelter details", IF(ISERROR($S453),"",OFFSET('Smelter Reference List'!$F$4,$S453-4,0)))</f>
        <v/>
      </c>
      <c r="H453" s="293" t="str">
        <f ca="1">IF(ISERROR($S453),"",OFFSET('Smelter Reference List'!$G$4,$S453-4,0))</f>
        <v/>
      </c>
      <c r="I453" s="294" t="str">
        <f ca="1">IF(ISERROR($S453),"",OFFSET('Smelter Reference List'!$H$4,$S453-4,0))</f>
        <v/>
      </c>
      <c r="J453" s="294" t="str">
        <f ca="1">IF(ISERROR($S453),"",OFFSET('Smelter Reference List'!$I$4,$S453-4,0))</f>
        <v/>
      </c>
      <c r="K453" s="295"/>
      <c r="L453" s="295"/>
      <c r="M453" s="295"/>
      <c r="N453" s="295"/>
      <c r="O453" s="295"/>
      <c r="P453" s="295"/>
      <c r="Q453" s="296"/>
      <c r="R453" s="227"/>
      <c r="S453" s="228" t="e">
        <f>IF(C453="",NA(),MATCH($B453&amp;$C453,'Smelter Reference List'!$J:$J,0))</f>
        <v>#N/A</v>
      </c>
      <c r="T453" s="229"/>
      <c r="U453" s="229">
        <f t="shared" ref="U453:U516" ca="1" si="16">IF(AND(C453="Smelter not listed",OR(LEN(D453)=0,LEN(E453)=0)),1,0)</f>
        <v>0</v>
      </c>
      <c r="V453" s="229"/>
      <c r="W453" s="229"/>
      <c r="Y453" s="223" t="str">
        <f t="shared" ref="Y453:Y516" si="17">B453&amp;C453</f>
        <v/>
      </c>
    </row>
    <row r="454" spans="1:25" s="223" customFormat="1" ht="20.25">
      <c r="A454" s="291"/>
      <c r="B454" s="292" t="str">
        <f>IF(LEN(A454)=0,"",INDEX('Smelter Reference List'!$A:$A,MATCH($A454,'Smelter Reference List'!$E:$E,0)))</f>
        <v/>
      </c>
      <c r="C454" s="298" t="str">
        <f>IF(LEN(A454)=0,"",INDEX('Smelter Reference List'!$C:$C,MATCH($A454,'Smelter Reference List'!$E:$E,0)))</f>
        <v/>
      </c>
      <c r="D454" s="292" t="str">
        <f ca="1">IF(ISERROR($S454),"",OFFSET('Smelter Reference List'!$C$4,$S454-4,0)&amp;"")</f>
        <v/>
      </c>
      <c r="E454" s="292" t="str">
        <f ca="1">IF(ISERROR($S454),"",OFFSET('Smelter Reference List'!$D$4,$S454-4,0)&amp;"")</f>
        <v/>
      </c>
      <c r="F454" s="292" t="str">
        <f ca="1">IF(ISERROR($S454),"",OFFSET('Smelter Reference List'!$E$4,$S454-4,0))</f>
        <v/>
      </c>
      <c r="G454" s="292" t="str">
        <f ca="1">IF(C454=$U$4,"Enter smelter details", IF(ISERROR($S454),"",OFFSET('Smelter Reference List'!$F$4,$S454-4,0)))</f>
        <v/>
      </c>
      <c r="H454" s="293" t="str">
        <f ca="1">IF(ISERROR($S454),"",OFFSET('Smelter Reference List'!$G$4,$S454-4,0))</f>
        <v/>
      </c>
      <c r="I454" s="294" t="str">
        <f ca="1">IF(ISERROR($S454),"",OFFSET('Smelter Reference List'!$H$4,$S454-4,0))</f>
        <v/>
      </c>
      <c r="J454" s="294" t="str">
        <f ca="1">IF(ISERROR($S454),"",OFFSET('Smelter Reference List'!$I$4,$S454-4,0))</f>
        <v/>
      </c>
      <c r="K454" s="295"/>
      <c r="L454" s="295"/>
      <c r="M454" s="295"/>
      <c r="N454" s="295"/>
      <c r="O454" s="295"/>
      <c r="P454" s="295"/>
      <c r="Q454" s="296"/>
      <c r="R454" s="227"/>
      <c r="S454" s="228" t="e">
        <f>IF(C454="",NA(),MATCH($B454&amp;$C454,'Smelter Reference List'!$J:$J,0))</f>
        <v>#N/A</v>
      </c>
      <c r="T454" s="229"/>
      <c r="U454" s="229">
        <f t="shared" ca="1" si="16"/>
        <v>0</v>
      </c>
      <c r="V454" s="229"/>
      <c r="W454" s="229"/>
      <c r="Y454" s="223" t="str">
        <f t="shared" si="17"/>
        <v/>
      </c>
    </row>
    <row r="455" spans="1:25" s="223" customFormat="1" ht="20.25">
      <c r="A455" s="291"/>
      <c r="B455" s="292" t="str">
        <f>IF(LEN(A455)=0,"",INDEX('Smelter Reference List'!$A:$A,MATCH($A455,'Smelter Reference List'!$E:$E,0)))</f>
        <v/>
      </c>
      <c r="C455" s="298" t="str">
        <f>IF(LEN(A455)=0,"",INDEX('Smelter Reference List'!$C:$C,MATCH($A455,'Smelter Reference List'!$E:$E,0)))</f>
        <v/>
      </c>
      <c r="D455" s="292" t="str">
        <f ca="1">IF(ISERROR($S455),"",OFFSET('Smelter Reference List'!$C$4,$S455-4,0)&amp;"")</f>
        <v/>
      </c>
      <c r="E455" s="292" t="str">
        <f ca="1">IF(ISERROR($S455),"",OFFSET('Smelter Reference List'!$D$4,$S455-4,0)&amp;"")</f>
        <v/>
      </c>
      <c r="F455" s="292" t="str">
        <f ca="1">IF(ISERROR($S455),"",OFFSET('Smelter Reference List'!$E$4,$S455-4,0))</f>
        <v/>
      </c>
      <c r="G455" s="292" t="str">
        <f ca="1">IF(C455=$U$4,"Enter smelter details", IF(ISERROR($S455),"",OFFSET('Smelter Reference List'!$F$4,$S455-4,0)))</f>
        <v/>
      </c>
      <c r="H455" s="293" t="str">
        <f ca="1">IF(ISERROR($S455),"",OFFSET('Smelter Reference List'!$G$4,$S455-4,0))</f>
        <v/>
      </c>
      <c r="I455" s="294" t="str">
        <f ca="1">IF(ISERROR($S455),"",OFFSET('Smelter Reference List'!$H$4,$S455-4,0))</f>
        <v/>
      </c>
      <c r="J455" s="294" t="str">
        <f ca="1">IF(ISERROR($S455),"",OFFSET('Smelter Reference List'!$I$4,$S455-4,0))</f>
        <v/>
      </c>
      <c r="K455" s="295"/>
      <c r="L455" s="295"/>
      <c r="M455" s="295"/>
      <c r="N455" s="295"/>
      <c r="O455" s="295"/>
      <c r="P455" s="295"/>
      <c r="Q455" s="296"/>
      <c r="R455" s="227"/>
      <c r="S455" s="228" t="e">
        <f>IF(C455="",NA(),MATCH($B455&amp;$C455,'Smelter Reference List'!$J:$J,0))</f>
        <v>#N/A</v>
      </c>
      <c r="T455" s="229"/>
      <c r="U455" s="229">
        <f t="shared" ca="1" si="16"/>
        <v>0</v>
      </c>
      <c r="V455" s="229"/>
      <c r="W455" s="229"/>
      <c r="Y455" s="223" t="str">
        <f t="shared" si="17"/>
        <v/>
      </c>
    </row>
    <row r="456" spans="1:25" s="223" customFormat="1" ht="20.25">
      <c r="A456" s="291"/>
      <c r="B456" s="292" t="str">
        <f>IF(LEN(A456)=0,"",INDEX('Smelter Reference List'!$A:$A,MATCH($A456,'Smelter Reference List'!$E:$E,0)))</f>
        <v/>
      </c>
      <c r="C456" s="298" t="str">
        <f>IF(LEN(A456)=0,"",INDEX('Smelter Reference List'!$C:$C,MATCH($A456,'Smelter Reference List'!$E:$E,0)))</f>
        <v/>
      </c>
      <c r="D456" s="292" t="str">
        <f ca="1">IF(ISERROR($S456),"",OFFSET('Smelter Reference List'!$C$4,$S456-4,0)&amp;"")</f>
        <v/>
      </c>
      <c r="E456" s="292" t="str">
        <f ca="1">IF(ISERROR($S456),"",OFFSET('Smelter Reference List'!$D$4,$S456-4,0)&amp;"")</f>
        <v/>
      </c>
      <c r="F456" s="292" t="str">
        <f ca="1">IF(ISERROR($S456),"",OFFSET('Smelter Reference List'!$E$4,$S456-4,0))</f>
        <v/>
      </c>
      <c r="G456" s="292" t="str">
        <f ca="1">IF(C456=$U$4,"Enter smelter details", IF(ISERROR($S456),"",OFFSET('Smelter Reference List'!$F$4,$S456-4,0)))</f>
        <v/>
      </c>
      <c r="H456" s="293" t="str">
        <f ca="1">IF(ISERROR($S456),"",OFFSET('Smelter Reference List'!$G$4,$S456-4,0))</f>
        <v/>
      </c>
      <c r="I456" s="294" t="str">
        <f ca="1">IF(ISERROR($S456),"",OFFSET('Smelter Reference List'!$H$4,$S456-4,0))</f>
        <v/>
      </c>
      <c r="J456" s="294" t="str">
        <f ca="1">IF(ISERROR($S456),"",OFFSET('Smelter Reference List'!$I$4,$S456-4,0))</f>
        <v/>
      </c>
      <c r="K456" s="295"/>
      <c r="L456" s="295"/>
      <c r="M456" s="295"/>
      <c r="N456" s="295"/>
      <c r="O456" s="295"/>
      <c r="P456" s="295"/>
      <c r="Q456" s="296"/>
      <c r="R456" s="227"/>
      <c r="S456" s="228" t="e">
        <f>IF(C456="",NA(),MATCH($B456&amp;$C456,'Smelter Reference List'!$J:$J,0))</f>
        <v>#N/A</v>
      </c>
      <c r="T456" s="229"/>
      <c r="U456" s="229">
        <f t="shared" ca="1" si="16"/>
        <v>0</v>
      </c>
      <c r="V456" s="229"/>
      <c r="W456" s="229"/>
      <c r="Y456" s="223" t="str">
        <f t="shared" si="17"/>
        <v/>
      </c>
    </row>
    <row r="457" spans="1:25" s="223" customFormat="1" ht="20.25">
      <c r="A457" s="291"/>
      <c r="B457" s="292" t="str">
        <f>IF(LEN(A457)=0,"",INDEX('Smelter Reference List'!$A:$A,MATCH($A457,'Smelter Reference List'!$E:$E,0)))</f>
        <v/>
      </c>
      <c r="C457" s="298" t="str">
        <f>IF(LEN(A457)=0,"",INDEX('Smelter Reference List'!$C:$C,MATCH($A457,'Smelter Reference List'!$E:$E,0)))</f>
        <v/>
      </c>
      <c r="D457" s="292" t="str">
        <f ca="1">IF(ISERROR($S457),"",OFFSET('Smelter Reference List'!$C$4,$S457-4,0)&amp;"")</f>
        <v/>
      </c>
      <c r="E457" s="292" t="str">
        <f ca="1">IF(ISERROR($S457),"",OFFSET('Smelter Reference List'!$D$4,$S457-4,0)&amp;"")</f>
        <v/>
      </c>
      <c r="F457" s="292" t="str">
        <f ca="1">IF(ISERROR($S457),"",OFFSET('Smelter Reference List'!$E$4,$S457-4,0))</f>
        <v/>
      </c>
      <c r="G457" s="292" t="str">
        <f ca="1">IF(C457=$U$4,"Enter smelter details", IF(ISERROR($S457),"",OFFSET('Smelter Reference List'!$F$4,$S457-4,0)))</f>
        <v/>
      </c>
      <c r="H457" s="293" t="str">
        <f ca="1">IF(ISERROR($S457),"",OFFSET('Smelter Reference List'!$G$4,$S457-4,0))</f>
        <v/>
      </c>
      <c r="I457" s="294" t="str">
        <f ca="1">IF(ISERROR($S457),"",OFFSET('Smelter Reference List'!$H$4,$S457-4,0))</f>
        <v/>
      </c>
      <c r="J457" s="294" t="str">
        <f ca="1">IF(ISERROR($S457),"",OFFSET('Smelter Reference List'!$I$4,$S457-4,0))</f>
        <v/>
      </c>
      <c r="K457" s="295"/>
      <c r="L457" s="295"/>
      <c r="M457" s="295"/>
      <c r="N457" s="295"/>
      <c r="O457" s="295"/>
      <c r="P457" s="295"/>
      <c r="Q457" s="296"/>
      <c r="R457" s="227"/>
      <c r="S457" s="228" t="e">
        <f>IF(C457="",NA(),MATCH($B457&amp;$C457,'Smelter Reference List'!$J:$J,0))</f>
        <v>#N/A</v>
      </c>
      <c r="T457" s="229"/>
      <c r="U457" s="229">
        <f t="shared" ca="1" si="16"/>
        <v>0</v>
      </c>
      <c r="V457" s="229"/>
      <c r="W457" s="229"/>
      <c r="Y457" s="223" t="str">
        <f t="shared" si="17"/>
        <v/>
      </c>
    </row>
    <row r="458" spans="1:25" s="223" customFormat="1" ht="20.25">
      <c r="A458" s="291"/>
      <c r="B458" s="292" t="str">
        <f>IF(LEN(A458)=0,"",INDEX('Smelter Reference List'!$A:$A,MATCH($A458,'Smelter Reference List'!$E:$E,0)))</f>
        <v/>
      </c>
      <c r="C458" s="298" t="str">
        <f>IF(LEN(A458)=0,"",INDEX('Smelter Reference List'!$C:$C,MATCH($A458,'Smelter Reference List'!$E:$E,0)))</f>
        <v/>
      </c>
      <c r="D458" s="292" t="str">
        <f ca="1">IF(ISERROR($S458),"",OFFSET('Smelter Reference List'!$C$4,$S458-4,0)&amp;"")</f>
        <v/>
      </c>
      <c r="E458" s="292" t="str">
        <f ca="1">IF(ISERROR($S458),"",OFFSET('Smelter Reference List'!$D$4,$S458-4,0)&amp;"")</f>
        <v/>
      </c>
      <c r="F458" s="292" t="str">
        <f ca="1">IF(ISERROR($S458),"",OFFSET('Smelter Reference List'!$E$4,$S458-4,0))</f>
        <v/>
      </c>
      <c r="G458" s="292" t="str">
        <f ca="1">IF(C458=$U$4,"Enter smelter details", IF(ISERROR($S458),"",OFFSET('Smelter Reference List'!$F$4,$S458-4,0)))</f>
        <v/>
      </c>
      <c r="H458" s="293" t="str">
        <f ca="1">IF(ISERROR($S458),"",OFFSET('Smelter Reference List'!$G$4,$S458-4,0))</f>
        <v/>
      </c>
      <c r="I458" s="294" t="str">
        <f ca="1">IF(ISERROR($S458),"",OFFSET('Smelter Reference List'!$H$4,$S458-4,0))</f>
        <v/>
      </c>
      <c r="J458" s="294" t="str">
        <f ca="1">IF(ISERROR($S458),"",OFFSET('Smelter Reference List'!$I$4,$S458-4,0))</f>
        <v/>
      </c>
      <c r="K458" s="295"/>
      <c r="L458" s="295"/>
      <c r="M458" s="295"/>
      <c r="N458" s="295"/>
      <c r="O458" s="295"/>
      <c r="P458" s="295"/>
      <c r="Q458" s="296"/>
      <c r="R458" s="227"/>
      <c r="S458" s="228" t="e">
        <f>IF(C458="",NA(),MATCH($B458&amp;$C458,'Smelter Reference List'!$J:$J,0))</f>
        <v>#N/A</v>
      </c>
      <c r="T458" s="229"/>
      <c r="U458" s="229">
        <f t="shared" ca="1" si="16"/>
        <v>0</v>
      </c>
      <c r="V458" s="229"/>
      <c r="W458" s="229"/>
      <c r="Y458" s="223" t="str">
        <f t="shared" si="17"/>
        <v/>
      </c>
    </row>
    <row r="459" spans="1:25" s="223" customFormat="1" ht="20.25">
      <c r="A459" s="291"/>
      <c r="B459" s="292" t="str">
        <f>IF(LEN(A459)=0,"",INDEX('Smelter Reference List'!$A:$A,MATCH($A459,'Smelter Reference List'!$E:$E,0)))</f>
        <v/>
      </c>
      <c r="C459" s="298" t="str">
        <f>IF(LEN(A459)=0,"",INDEX('Smelter Reference List'!$C:$C,MATCH($A459,'Smelter Reference List'!$E:$E,0)))</f>
        <v/>
      </c>
      <c r="D459" s="292" t="str">
        <f ca="1">IF(ISERROR($S459),"",OFFSET('Smelter Reference List'!$C$4,$S459-4,0)&amp;"")</f>
        <v/>
      </c>
      <c r="E459" s="292" t="str">
        <f ca="1">IF(ISERROR($S459),"",OFFSET('Smelter Reference List'!$D$4,$S459-4,0)&amp;"")</f>
        <v/>
      </c>
      <c r="F459" s="292" t="str">
        <f ca="1">IF(ISERROR($S459),"",OFFSET('Smelter Reference List'!$E$4,$S459-4,0))</f>
        <v/>
      </c>
      <c r="G459" s="292" t="str">
        <f ca="1">IF(C459=$U$4,"Enter smelter details", IF(ISERROR($S459),"",OFFSET('Smelter Reference List'!$F$4,$S459-4,0)))</f>
        <v/>
      </c>
      <c r="H459" s="293" t="str">
        <f ca="1">IF(ISERROR($S459),"",OFFSET('Smelter Reference List'!$G$4,$S459-4,0))</f>
        <v/>
      </c>
      <c r="I459" s="294" t="str">
        <f ca="1">IF(ISERROR($S459),"",OFFSET('Smelter Reference List'!$H$4,$S459-4,0))</f>
        <v/>
      </c>
      <c r="J459" s="294" t="str">
        <f ca="1">IF(ISERROR($S459),"",OFFSET('Smelter Reference List'!$I$4,$S459-4,0))</f>
        <v/>
      </c>
      <c r="K459" s="295"/>
      <c r="L459" s="295"/>
      <c r="M459" s="295"/>
      <c r="N459" s="295"/>
      <c r="O459" s="295"/>
      <c r="P459" s="295"/>
      <c r="Q459" s="296"/>
      <c r="R459" s="227"/>
      <c r="S459" s="228" t="e">
        <f>IF(C459="",NA(),MATCH($B459&amp;$C459,'Smelter Reference List'!$J:$J,0))</f>
        <v>#N/A</v>
      </c>
      <c r="T459" s="229"/>
      <c r="U459" s="229">
        <f t="shared" ca="1" si="16"/>
        <v>0</v>
      </c>
      <c r="V459" s="229"/>
      <c r="W459" s="229"/>
      <c r="Y459" s="223" t="str">
        <f t="shared" si="17"/>
        <v/>
      </c>
    </row>
    <row r="460" spans="1:25" s="223" customFormat="1" ht="20.25">
      <c r="A460" s="291"/>
      <c r="B460" s="292" t="str">
        <f>IF(LEN(A460)=0,"",INDEX('Smelter Reference List'!$A:$A,MATCH($A460,'Smelter Reference List'!$E:$E,0)))</f>
        <v/>
      </c>
      <c r="C460" s="298" t="str">
        <f>IF(LEN(A460)=0,"",INDEX('Smelter Reference List'!$C:$C,MATCH($A460,'Smelter Reference List'!$E:$E,0)))</f>
        <v/>
      </c>
      <c r="D460" s="292" t="str">
        <f ca="1">IF(ISERROR($S460),"",OFFSET('Smelter Reference List'!$C$4,$S460-4,0)&amp;"")</f>
        <v/>
      </c>
      <c r="E460" s="292" t="str">
        <f ca="1">IF(ISERROR($S460),"",OFFSET('Smelter Reference List'!$D$4,$S460-4,0)&amp;"")</f>
        <v/>
      </c>
      <c r="F460" s="292" t="str">
        <f ca="1">IF(ISERROR($S460),"",OFFSET('Smelter Reference List'!$E$4,$S460-4,0))</f>
        <v/>
      </c>
      <c r="G460" s="292" t="str">
        <f ca="1">IF(C460=$U$4,"Enter smelter details", IF(ISERROR($S460),"",OFFSET('Smelter Reference List'!$F$4,$S460-4,0)))</f>
        <v/>
      </c>
      <c r="H460" s="293" t="str">
        <f ca="1">IF(ISERROR($S460),"",OFFSET('Smelter Reference List'!$G$4,$S460-4,0))</f>
        <v/>
      </c>
      <c r="I460" s="294" t="str">
        <f ca="1">IF(ISERROR($S460),"",OFFSET('Smelter Reference List'!$H$4,$S460-4,0))</f>
        <v/>
      </c>
      <c r="J460" s="294" t="str">
        <f ca="1">IF(ISERROR($S460),"",OFFSET('Smelter Reference List'!$I$4,$S460-4,0))</f>
        <v/>
      </c>
      <c r="K460" s="295"/>
      <c r="L460" s="295"/>
      <c r="M460" s="295"/>
      <c r="N460" s="295"/>
      <c r="O460" s="295"/>
      <c r="P460" s="295"/>
      <c r="Q460" s="296"/>
      <c r="R460" s="227"/>
      <c r="S460" s="228" t="e">
        <f>IF(C460="",NA(),MATCH($B460&amp;$C460,'Smelter Reference List'!$J:$J,0))</f>
        <v>#N/A</v>
      </c>
      <c r="T460" s="229"/>
      <c r="U460" s="229">
        <f t="shared" ca="1" si="16"/>
        <v>0</v>
      </c>
      <c r="V460" s="229"/>
      <c r="W460" s="229"/>
      <c r="Y460" s="223" t="str">
        <f t="shared" si="17"/>
        <v/>
      </c>
    </row>
    <row r="461" spans="1:25" s="223" customFormat="1" ht="20.25">
      <c r="A461" s="291"/>
      <c r="B461" s="292" t="str">
        <f>IF(LEN(A461)=0,"",INDEX('Smelter Reference List'!$A:$A,MATCH($A461,'Smelter Reference List'!$E:$E,0)))</f>
        <v/>
      </c>
      <c r="C461" s="298" t="str">
        <f>IF(LEN(A461)=0,"",INDEX('Smelter Reference List'!$C:$C,MATCH($A461,'Smelter Reference List'!$E:$E,0)))</f>
        <v/>
      </c>
      <c r="D461" s="292" t="str">
        <f ca="1">IF(ISERROR($S461),"",OFFSET('Smelter Reference List'!$C$4,$S461-4,0)&amp;"")</f>
        <v/>
      </c>
      <c r="E461" s="292" t="str">
        <f ca="1">IF(ISERROR($S461),"",OFFSET('Smelter Reference List'!$D$4,$S461-4,0)&amp;"")</f>
        <v/>
      </c>
      <c r="F461" s="292" t="str">
        <f ca="1">IF(ISERROR($S461),"",OFFSET('Smelter Reference List'!$E$4,$S461-4,0))</f>
        <v/>
      </c>
      <c r="G461" s="292" t="str">
        <f ca="1">IF(C461=$U$4,"Enter smelter details", IF(ISERROR($S461),"",OFFSET('Smelter Reference List'!$F$4,$S461-4,0)))</f>
        <v/>
      </c>
      <c r="H461" s="293" t="str">
        <f ca="1">IF(ISERROR($S461),"",OFFSET('Smelter Reference List'!$G$4,$S461-4,0))</f>
        <v/>
      </c>
      <c r="I461" s="294" t="str">
        <f ca="1">IF(ISERROR($S461),"",OFFSET('Smelter Reference List'!$H$4,$S461-4,0))</f>
        <v/>
      </c>
      <c r="J461" s="294" t="str">
        <f ca="1">IF(ISERROR($S461),"",OFFSET('Smelter Reference List'!$I$4,$S461-4,0))</f>
        <v/>
      </c>
      <c r="K461" s="295"/>
      <c r="L461" s="295"/>
      <c r="M461" s="295"/>
      <c r="N461" s="295"/>
      <c r="O461" s="295"/>
      <c r="P461" s="295"/>
      <c r="Q461" s="296"/>
      <c r="R461" s="227"/>
      <c r="S461" s="228" t="e">
        <f>IF(C461="",NA(),MATCH($B461&amp;$C461,'Smelter Reference List'!$J:$J,0))</f>
        <v>#N/A</v>
      </c>
      <c r="T461" s="229"/>
      <c r="U461" s="229">
        <f t="shared" ca="1" si="16"/>
        <v>0</v>
      </c>
      <c r="V461" s="229"/>
      <c r="W461" s="229"/>
      <c r="Y461" s="223" t="str">
        <f t="shared" si="17"/>
        <v/>
      </c>
    </row>
    <row r="462" spans="1:25" s="223" customFormat="1" ht="20.25">
      <c r="A462" s="291"/>
      <c r="B462" s="292" t="str">
        <f>IF(LEN(A462)=0,"",INDEX('Smelter Reference List'!$A:$A,MATCH($A462,'Smelter Reference List'!$E:$E,0)))</f>
        <v/>
      </c>
      <c r="C462" s="298" t="str">
        <f>IF(LEN(A462)=0,"",INDEX('Smelter Reference List'!$C:$C,MATCH($A462,'Smelter Reference List'!$E:$E,0)))</f>
        <v/>
      </c>
      <c r="D462" s="292" t="str">
        <f ca="1">IF(ISERROR($S462),"",OFFSET('Smelter Reference List'!$C$4,$S462-4,0)&amp;"")</f>
        <v/>
      </c>
      <c r="E462" s="292" t="str">
        <f ca="1">IF(ISERROR($S462),"",OFFSET('Smelter Reference List'!$D$4,$S462-4,0)&amp;"")</f>
        <v/>
      </c>
      <c r="F462" s="292" t="str">
        <f ca="1">IF(ISERROR($S462),"",OFFSET('Smelter Reference List'!$E$4,$S462-4,0))</f>
        <v/>
      </c>
      <c r="G462" s="292" t="str">
        <f ca="1">IF(C462=$U$4,"Enter smelter details", IF(ISERROR($S462),"",OFFSET('Smelter Reference List'!$F$4,$S462-4,0)))</f>
        <v/>
      </c>
      <c r="H462" s="293" t="str">
        <f ca="1">IF(ISERROR($S462),"",OFFSET('Smelter Reference List'!$G$4,$S462-4,0))</f>
        <v/>
      </c>
      <c r="I462" s="294" t="str">
        <f ca="1">IF(ISERROR($S462),"",OFFSET('Smelter Reference List'!$H$4,$S462-4,0))</f>
        <v/>
      </c>
      <c r="J462" s="294" t="str">
        <f ca="1">IF(ISERROR($S462),"",OFFSET('Smelter Reference List'!$I$4,$S462-4,0))</f>
        <v/>
      </c>
      <c r="K462" s="295"/>
      <c r="L462" s="295"/>
      <c r="M462" s="295"/>
      <c r="N462" s="295"/>
      <c r="O462" s="295"/>
      <c r="P462" s="295"/>
      <c r="Q462" s="296"/>
      <c r="R462" s="227"/>
      <c r="S462" s="228" t="e">
        <f>IF(C462="",NA(),MATCH($B462&amp;$C462,'Smelter Reference List'!$J:$J,0))</f>
        <v>#N/A</v>
      </c>
      <c r="T462" s="229"/>
      <c r="U462" s="229">
        <f t="shared" ca="1" si="16"/>
        <v>0</v>
      </c>
      <c r="V462" s="229"/>
      <c r="W462" s="229"/>
      <c r="Y462" s="223" t="str">
        <f t="shared" si="17"/>
        <v/>
      </c>
    </row>
    <row r="463" spans="1:25" s="223" customFormat="1" ht="20.25">
      <c r="A463" s="291"/>
      <c r="B463" s="292" t="str">
        <f>IF(LEN(A463)=0,"",INDEX('Smelter Reference List'!$A:$A,MATCH($A463,'Smelter Reference List'!$E:$E,0)))</f>
        <v/>
      </c>
      <c r="C463" s="298" t="str">
        <f>IF(LEN(A463)=0,"",INDEX('Smelter Reference List'!$C:$C,MATCH($A463,'Smelter Reference List'!$E:$E,0)))</f>
        <v/>
      </c>
      <c r="D463" s="292" t="str">
        <f ca="1">IF(ISERROR($S463),"",OFFSET('Smelter Reference List'!$C$4,$S463-4,0)&amp;"")</f>
        <v/>
      </c>
      <c r="E463" s="292" t="str">
        <f ca="1">IF(ISERROR($S463),"",OFFSET('Smelter Reference List'!$D$4,$S463-4,0)&amp;"")</f>
        <v/>
      </c>
      <c r="F463" s="292" t="str">
        <f ca="1">IF(ISERROR($S463),"",OFFSET('Smelter Reference List'!$E$4,$S463-4,0))</f>
        <v/>
      </c>
      <c r="G463" s="292" t="str">
        <f ca="1">IF(C463=$U$4,"Enter smelter details", IF(ISERROR($S463),"",OFFSET('Smelter Reference List'!$F$4,$S463-4,0)))</f>
        <v/>
      </c>
      <c r="H463" s="293" t="str">
        <f ca="1">IF(ISERROR($S463),"",OFFSET('Smelter Reference List'!$G$4,$S463-4,0))</f>
        <v/>
      </c>
      <c r="I463" s="294" t="str">
        <f ca="1">IF(ISERROR($S463),"",OFFSET('Smelter Reference List'!$H$4,$S463-4,0))</f>
        <v/>
      </c>
      <c r="J463" s="294" t="str">
        <f ca="1">IF(ISERROR($S463),"",OFFSET('Smelter Reference List'!$I$4,$S463-4,0))</f>
        <v/>
      </c>
      <c r="K463" s="295"/>
      <c r="L463" s="295"/>
      <c r="M463" s="295"/>
      <c r="N463" s="295"/>
      <c r="O463" s="295"/>
      <c r="P463" s="295"/>
      <c r="Q463" s="296"/>
      <c r="R463" s="227"/>
      <c r="S463" s="228" t="e">
        <f>IF(C463="",NA(),MATCH($B463&amp;$C463,'Smelter Reference List'!$J:$J,0))</f>
        <v>#N/A</v>
      </c>
      <c r="T463" s="229"/>
      <c r="U463" s="229">
        <f t="shared" ca="1" si="16"/>
        <v>0</v>
      </c>
      <c r="V463" s="229"/>
      <c r="W463" s="229"/>
      <c r="Y463" s="223" t="str">
        <f t="shared" si="17"/>
        <v/>
      </c>
    </row>
    <row r="464" spans="1:25" s="223" customFormat="1" ht="20.25">
      <c r="A464" s="291"/>
      <c r="B464" s="292" t="str">
        <f>IF(LEN(A464)=0,"",INDEX('Smelter Reference List'!$A:$A,MATCH($A464,'Smelter Reference List'!$E:$E,0)))</f>
        <v/>
      </c>
      <c r="C464" s="298" t="str">
        <f>IF(LEN(A464)=0,"",INDEX('Smelter Reference List'!$C:$C,MATCH($A464,'Smelter Reference List'!$E:$E,0)))</f>
        <v/>
      </c>
      <c r="D464" s="292" t="str">
        <f ca="1">IF(ISERROR($S464),"",OFFSET('Smelter Reference List'!$C$4,$S464-4,0)&amp;"")</f>
        <v/>
      </c>
      <c r="E464" s="292" t="str">
        <f ca="1">IF(ISERROR($S464),"",OFFSET('Smelter Reference List'!$D$4,$S464-4,0)&amp;"")</f>
        <v/>
      </c>
      <c r="F464" s="292" t="str">
        <f ca="1">IF(ISERROR($S464),"",OFFSET('Smelter Reference List'!$E$4,$S464-4,0))</f>
        <v/>
      </c>
      <c r="G464" s="292" t="str">
        <f ca="1">IF(C464=$U$4,"Enter smelter details", IF(ISERROR($S464),"",OFFSET('Smelter Reference List'!$F$4,$S464-4,0)))</f>
        <v/>
      </c>
      <c r="H464" s="293" t="str">
        <f ca="1">IF(ISERROR($S464),"",OFFSET('Smelter Reference List'!$G$4,$S464-4,0))</f>
        <v/>
      </c>
      <c r="I464" s="294" t="str">
        <f ca="1">IF(ISERROR($S464),"",OFFSET('Smelter Reference List'!$H$4,$S464-4,0))</f>
        <v/>
      </c>
      <c r="J464" s="294" t="str">
        <f ca="1">IF(ISERROR($S464),"",OFFSET('Smelter Reference List'!$I$4,$S464-4,0))</f>
        <v/>
      </c>
      <c r="K464" s="295"/>
      <c r="L464" s="295"/>
      <c r="M464" s="295"/>
      <c r="N464" s="295"/>
      <c r="O464" s="295"/>
      <c r="P464" s="295"/>
      <c r="Q464" s="296"/>
      <c r="R464" s="227"/>
      <c r="S464" s="228" t="e">
        <f>IF(C464="",NA(),MATCH($B464&amp;$C464,'Smelter Reference List'!$J:$J,0))</f>
        <v>#N/A</v>
      </c>
      <c r="T464" s="229"/>
      <c r="U464" s="229">
        <f t="shared" ca="1" si="16"/>
        <v>0</v>
      </c>
      <c r="V464" s="229"/>
      <c r="W464" s="229"/>
      <c r="Y464" s="223" t="str">
        <f t="shared" si="17"/>
        <v/>
      </c>
    </row>
    <row r="465" spans="1:25" s="223" customFormat="1" ht="20.25">
      <c r="A465" s="291"/>
      <c r="B465" s="292" t="str">
        <f>IF(LEN(A465)=0,"",INDEX('Smelter Reference List'!$A:$A,MATCH($A465,'Smelter Reference List'!$E:$E,0)))</f>
        <v/>
      </c>
      <c r="C465" s="298" t="str">
        <f>IF(LEN(A465)=0,"",INDEX('Smelter Reference List'!$C:$C,MATCH($A465,'Smelter Reference List'!$E:$E,0)))</f>
        <v/>
      </c>
      <c r="D465" s="292" t="str">
        <f ca="1">IF(ISERROR($S465),"",OFFSET('Smelter Reference List'!$C$4,$S465-4,0)&amp;"")</f>
        <v/>
      </c>
      <c r="E465" s="292" t="str">
        <f ca="1">IF(ISERROR($S465),"",OFFSET('Smelter Reference List'!$D$4,$S465-4,0)&amp;"")</f>
        <v/>
      </c>
      <c r="F465" s="292" t="str">
        <f ca="1">IF(ISERROR($S465),"",OFFSET('Smelter Reference List'!$E$4,$S465-4,0))</f>
        <v/>
      </c>
      <c r="G465" s="292" t="str">
        <f ca="1">IF(C465=$U$4,"Enter smelter details", IF(ISERROR($S465),"",OFFSET('Smelter Reference List'!$F$4,$S465-4,0)))</f>
        <v/>
      </c>
      <c r="H465" s="293" t="str">
        <f ca="1">IF(ISERROR($S465),"",OFFSET('Smelter Reference List'!$G$4,$S465-4,0))</f>
        <v/>
      </c>
      <c r="I465" s="294" t="str">
        <f ca="1">IF(ISERROR($S465),"",OFFSET('Smelter Reference List'!$H$4,$S465-4,0))</f>
        <v/>
      </c>
      <c r="J465" s="294" t="str">
        <f ca="1">IF(ISERROR($S465),"",OFFSET('Smelter Reference List'!$I$4,$S465-4,0))</f>
        <v/>
      </c>
      <c r="K465" s="295"/>
      <c r="L465" s="295"/>
      <c r="M465" s="295"/>
      <c r="N465" s="295"/>
      <c r="O465" s="295"/>
      <c r="P465" s="295"/>
      <c r="Q465" s="296"/>
      <c r="R465" s="227"/>
      <c r="S465" s="228" t="e">
        <f>IF(C465="",NA(),MATCH($B465&amp;$C465,'Smelter Reference List'!$J:$J,0))</f>
        <v>#N/A</v>
      </c>
      <c r="T465" s="229"/>
      <c r="U465" s="229">
        <f t="shared" ca="1" si="16"/>
        <v>0</v>
      </c>
      <c r="V465" s="229"/>
      <c r="W465" s="229"/>
      <c r="Y465" s="223" t="str">
        <f t="shared" si="17"/>
        <v/>
      </c>
    </row>
    <row r="466" spans="1:25" s="223" customFormat="1" ht="20.25">
      <c r="A466" s="291"/>
      <c r="B466" s="292" t="str">
        <f>IF(LEN(A466)=0,"",INDEX('Smelter Reference List'!$A:$A,MATCH($A466,'Smelter Reference List'!$E:$E,0)))</f>
        <v/>
      </c>
      <c r="C466" s="298" t="str">
        <f>IF(LEN(A466)=0,"",INDEX('Smelter Reference List'!$C:$C,MATCH($A466,'Smelter Reference List'!$E:$E,0)))</f>
        <v/>
      </c>
      <c r="D466" s="292" t="str">
        <f ca="1">IF(ISERROR($S466),"",OFFSET('Smelter Reference List'!$C$4,$S466-4,0)&amp;"")</f>
        <v/>
      </c>
      <c r="E466" s="292" t="str">
        <f ca="1">IF(ISERROR($S466),"",OFFSET('Smelter Reference List'!$D$4,$S466-4,0)&amp;"")</f>
        <v/>
      </c>
      <c r="F466" s="292" t="str">
        <f ca="1">IF(ISERROR($S466),"",OFFSET('Smelter Reference List'!$E$4,$S466-4,0))</f>
        <v/>
      </c>
      <c r="G466" s="292" t="str">
        <f ca="1">IF(C466=$U$4,"Enter smelter details", IF(ISERROR($S466),"",OFFSET('Smelter Reference List'!$F$4,$S466-4,0)))</f>
        <v/>
      </c>
      <c r="H466" s="293" t="str">
        <f ca="1">IF(ISERROR($S466),"",OFFSET('Smelter Reference List'!$G$4,$S466-4,0))</f>
        <v/>
      </c>
      <c r="I466" s="294" t="str">
        <f ca="1">IF(ISERROR($S466),"",OFFSET('Smelter Reference List'!$H$4,$S466-4,0))</f>
        <v/>
      </c>
      <c r="J466" s="294" t="str">
        <f ca="1">IF(ISERROR($S466),"",OFFSET('Smelter Reference List'!$I$4,$S466-4,0))</f>
        <v/>
      </c>
      <c r="K466" s="295"/>
      <c r="L466" s="295"/>
      <c r="M466" s="295"/>
      <c r="N466" s="295"/>
      <c r="O466" s="295"/>
      <c r="P466" s="295"/>
      <c r="Q466" s="296"/>
      <c r="R466" s="227"/>
      <c r="S466" s="228" t="e">
        <f>IF(C466="",NA(),MATCH($B466&amp;$C466,'Smelter Reference List'!$J:$J,0))</f>
        <v>#N/A</v>
      </c>
      <c r="T466" s="229"/>
      <c r="U466" s="229">
        <f t="shared" ca="1" si="16"/>
        <v>0</v>
      </c>
      <c r="V466" s="229"/>
      <c r="W466" s="229"/>
      <c r="Y466" s="223" t="str">
        <f t="shared" si="17"/>
        <v/>
      </c>
    </row>
    <row r="467" spans="1:25" s="223" customFormat="1" ht="20.25">
      <c r="A467" s="291"/>
      <c r="B467" s="292" t="str">
        <f>IF(LEN(A467)=0,"",INDEX('Smelter Reference List'!$A:$A,MATCH($A467,'Smelter Reference List'!$E:$E,0)))</f>
        <v/>
      </c>
      <c r="C467" s="298" t="str">
        <f>IF(LEN(A467)=0,"",INDEX('Smelter Reference List'!$C:$C,MATCH($A467,'Smelter Reference List'!$E:$E,0)))</f>
        <v/>
      </c>
      <c r="D467" s="292" t="str">
        <f ca="1">IF(ISERROR($S467),"",OFFSET('Smelter Reference List'!$C$4,$S467-4,0)&amp;"")</f>
        <v/>
      </c>
      <c r="E467" s="292" t="str">
        <f ca="1">IF(ISERROR($S467),"",OFFSET('Smelter Reference List'!$D$4,$S467-4,0)&amp;"")</f>
        <v/>
      </c>
      <c r="F467" s="292" t="str">
        <f ca="1">IF(ISERROR($S467),"",OFFSET('Smelter Reference List'!$E$4,$S467-4,0))</f>
        <v/>
      </c>
      <c r="G467" s="292" t="str">
        <f ca="1">IF(C467=$U$4,"Enter smelter details", IF(ISERROR($S467),"",OFFSET('Smelter Reference List'!$F$4,$S467-4,0)))</f>
        <v/>
      </c>
      <c r="H467" s="293" t="str">
        <f ca="1">IF(ISERROR($S467),"",OFFSET('Smelter Reference List'!$G$4,$S467-4,0))</f>
        <v/>
      </c>
      <c r="I467" s="294" t="str">
        <f ca="1">IF(ISERROR($S467),"",OFFSET('Smelter Reference List'!$H$4,$S467-4,0))</f>
        <v/>
      </c>
      <c r="J467" s="294" t="str">
        <f ca="1">IF(ISERROR($S467),"",OFFSET('Smelter Reference List'!$I$4,$S467-4,0))</f>
        <v/>
      </c>
      <c r="K467" s="295"/>
      <c r="L467" s="295"/>
      <c r="M467" s="295"/>
      <c r="N467" s="295"/>
      <c r="O467" s="295"/>
      <c r="P467" s="295"/>
      <c r="Q467" s="296"/>
      <c r="R467" s="227"/>
      <c r="S467" s="228" t="e">
        <f>IF(C467="",NA(),MATCH($B467&amp;$C467,'Smelter Reference List'!$J:$J,0))</f>
        <v>#N/A</v>
      </c>
      <c r="T467" s="229"/>
      <c r="U467" s="229">
        <f t="shared" ca="1" si="16"/>
        <v>0</v>
      </c>
      <c r="V467" s="229"/>
      <c r="W467" s="229"/>
      <c r="Y467" s="223" t="str">
        <f t="shared" si="17"/>
        <v/>
      </c>
    </row>
    <row r="468" spans="1:25" s="223" customFormat="1" ht="20.25">
      <c r="A468" s="291"/>
      <c r="B468" s="292" t="str">
        <f>IF(LEN(A468)=0,"",INDEX('Smelter Reference List'!$A:$A,MATCH($A468,'Smelter Reference List'!$E:$E,0)))</f>
        <v/>
      </c>
      <c r="C468" s="298" t="str">
        <f>IF(LEN(A468)=0,"",INDEX('Smelter Reference List'!$C:$C,MATCH($A468,'Smelter Reference List'!$E:$E,0)))</f>
        <v/>
      </c>
      <c r="D468" s="292" t="str">
        <f ca="1">IF(ISERROR($S468),"",OFFSET('Smelter Reference List'!$C$4,$S468-4,0)&amp;"")</f>
        <v/>
      </c>
      <c r="E468" s="292" t="str">
        <f ca="1">IF(ISERROR($S468),"",OFFSET('Smelter Reference List'!$D$4,$S468-4,0)&amp;"")</f>
        <v/>
      </c>
      <c r="F468" s="292" t="str">
        <f ca="1">IF(ISERROR($S468),"",OFFSET('Smelter Reference List'!$E$4,$S468-4,0))</f>
        <v/>
      </c>
      <c r="G468" s="292" t="str">
        <f ca="1">IF(C468=$U$4,"Enter smelter details", IF(ISERROR($S468),"",OFFSET('Smelter Reference List'!$F$4,$S468-4,0)))</f>
        <v/>
      </c>
      <c r="H468" s="293" t="str">
        <f ca="1">IF(ISERROR($S468),"",OFFSET('Smelter Reference List'!$G$4,$S468-4,0))</f>
        <v/>
      </c>
      <c r="I468" s="294" t="str">
        <f ca="1">IF(ISERROR($S468),"",OFFSET('Smelter Reference List'!$H$4,$S468-4,0))</f>
        <v/>
      </c>
      <c r="J468" s="294" t="str">
        <f ca="1">IF(ISERROR($S468),"",OFFSET('Smelter Reference List'!$I$4,$S468-4,0))</f>
        <v/>
      </c>
      <c r="K468" s="295"/>
      <c r="L468" s="295"/>
      <c r="M468" s="295"/>
      <c r="N468" s="295"/>
      <c r="O468" s="295"/>
      <c r="P468" s="295"/>
      <c r="Q468" s="296"/>
      <c r="R468" s="227"/>
      <c r="S468" s="228" t="e">
        <f>IF(C468="",NA(),MATCH($B468&amp;$C468,'Smelter Reference List'!$J:$J,0))</f>
        <v>#N/A</v>
      </c>
      <c r="T468" s="229"/>
      <c r="U468" s="229">
        <f t="shared" ca="1" si="16"/>
        <v>0</v>
      </c>
      <c r="V468" s="229"/>
      <c r="W468" s="229"/>
      <c r="Y468" s="223" t="str">
        <f t="shared" si="17"/>
        <v/>
      </c>
    </row>
    <row r="469" spans="1:25" s="223" customFormat="1" ht="20.25">
      <c r="A469" s="291"/>
      <c r="B469" s="292" t="str">
        <f>IF(LEN(A469)=0,"",INDEX('Smelter Reference List'!$A:$A,MATCH($A469,'Smelter Reference List'!$E:$E,0)))</f>
        <v/>
      </c>
      <c r="C469" s="298" t="str">
        <f>IF(LEN(A469)=0,"",INDEX('Smelter Reference List'!$C:$C,MATCH($A469,'Smelter Reference List'!$E:$E,0)))</f>
        <v/>
      </c>
      <c r="D469" s="292" t="str">
        <f ca="1">IF(ISERROR($S469),"",OFFSET('Smelter Reference List'!$C$4,$S469-4,0)&amp;"")</f>
        <v/>
      </c>
      <c r="E469" s="292" t="str">
        <f ca="1">IF(ISERROR($S469),"",OFFSET('Smelter Reference List'!$D$4,$S469-4,0)&amp;"")</f>
        <v/>
      </c>
      <c r="F469" s="292" t="str">
        <f ca="1">IF(ISERROR($S469),"",OFFSET('Smelter Reference List'!$E$4,$S469-4,0))</f>
        <v/>
      </c>
      <c r="G469" s="292" t="str">
        <f ca="1">IF(C469=$U$4,"Enter smelter details", IF(ISERROR($S469),"",OFFSET('Smelter Reference List'!$F$4,$S469-4,0)))</f>
        <v/>
      </c>
      <c r="H469" s="293" t="str">
        <f ca="1">IF(ISERROR($S469),"",OFFSET('Smelter Reference List'!$G$4,$S469-4,0))</f>
        <v/>
      </c>
      <c r="I469" s="294" t="str">
        <f ca="1">IF(ISERROR($S469),"",OFFSET('Smelter Reference List'!$H$4,$S469-4,0))</f>
        <v/>
      </c>
      <c r="J469" s="294" t="str">
        <f ca="1">IF(ISERROR($S469),"",OFFSET('Smelter Reference List'!$I$4,$S469-4,0))</f>
        <v/>
      </c>
      <c r="K469" s="295"/>
      <c r="L469" s="295"/>
      <c r="M469" s="295"/>
      <c r="N469" s="295"/>
      <c r="O469" s="295"/>
      <c r="P469" s="295"/>
      <c r="Q469" s="296"/>
      <c r="R469" s="227"/>
      <c r="S469" s="228" t="e">
        <f>IF(C469="",NA(),MATCH($B469&amp;$C469,'Smelter Reference List'!$J:$J,0))</f>
        <v>#N/A</v>
      </c>
      <c r="T469" s="229"/>
      <c r="U469" s="229">
        <f t="shared" ca="1" si="16"/>
        <v>0</v>
      </c>
      <c r="V469" s="229"/>
      <c r="W469" s="229"/>
      <c r="Y469" s="223" t="str">
        <f t="shared" si="17"/>
        <v/>
      </c>
    </row>
    <row r="470" spans="1:25" s="223" customFormat="1" ht="20.25">
      <c r="A470" s="291"/>
      <c r="B470" s="292" t="str">
        <f>IF(LEN(A470)=0,"",INDEX('Smelter Reference List'!$A:$A,MATCH($A470,'Smelter Reference List'!$E:$E,0)))</f>
        <v/>
      </c>
      <c r="C470" s="298" t="str">
        <f>IF(LEN(A470)=0,"",INDEX('Smelter Reference List'!$C:$C,MATCH($A470,'Smelter Reference List'!$E:$E,0)))</f>
        <v/>
      </c>
      <c r="D470" s="292" t="str">
        <f ca="1">IF(ISERROR($S470),"",OFFSET('Smelter Reference List'!$C$4,$S470-4,0)&amp;"")</f>
        <v/>
      </c>
      <c r="E470" s="292" t="str">
        <f ca="1">IF(ISERROR($S470),"",OFFSET('Smelter Reference List'!$D$4,$S470-4,0)&amp;"")</f>
        <v/>
      </c>
      <c r="F470" s="292" t="str">
        <f ca="1">IF(ISERROR($S470),"",OFFSET('Smelter Reference List'!$E$4,$S470-4,0))</f>
        <v/>
      </c>
      <c r="G470" s="292" t="str">
        <f ca="1">IF(C470=$U$4,"Enter smelter details", IF(ISERROR($S470),"",OFFSET('Smelter Reference List'!$F$4,$S470-4,0)))</f>
        <v/>
      </c>
      <c r="H470" s="293" t="str">
        <f ca="1">IF(ISERROR($S470),"",OFFSET('Smelter Reference List'!$G$4,$S470-4,0))</f>
        <v/>
      </c>
      <c r="I470" s="294" t="str">
        <f ca="1">IF(ISERROR($S470),"",OFFSET('Smelter Reference List'!$H$4,$S470-4,0))</f>
        <v/>
      </c>
      <c r="J470" s="294" t="str">
        <f ca="1">IF(ISERROR($S470),"",OFFSET('Smelter Reference List'!$I$4,$S470-4,0))</f>
        <v/>
      </c>
      <c r="K470" s="295"/>
      <c r="L470" s="295"/>
      <c r="M470" s="295"/>
      <c r="N470" s="295"/>
      <c r="O470" s="295"/>
      <c r="P470" s="295"/>
      <c r="Q470" s="296"/>
      <c r="R470" s="227"/>
      <c r="S470" s="228" t="e">
        <f>IF(C470="",NA(),MATCH($B470&amp;$C470,'Smelter Reference List'!$J:$J,0))</f>
        <v>#N/A</v>
      </c>
      <c r="T470" s="229"/>
      <c r="U470" s="229">
        <f t="shared" ca="1" si="16"/>
        <v>0</v>
      </c>
      <c r="V470" s="229"/>
      <c r="W470" s="229"/>
      <c r="Y470" s="223" t="str">
        <f t="shared" si="17"/>
        <v/>
      </c>
    </row>
    <row r="471" spans="1:25" s="223" customFormat="1" ht="20.25">
      <c r="A471" s="291"/>
      <c r="B471" s="292" t="str">
        <f>IF(LEN(A471)=0,"",INDEX('Smelter Reference List'!$A:$A,MATCH($A471,'Smelter Reference List'!$E:$E,0)))</f>
        <v/>
      </c>
      <c r="C471" s="298" t="str">
        <f>IF(LEN(A471)=0,"",INDEX('Smelter Reference List'!$C:$C,MATCH($A471,'Smelter Reference List'!$E:$E,0)))</f>
        <v/>
      </c>
      <c r="D471" s="292" t="str">
        <f ca="1">IF(ISERROR($S471),"",OFFSET('Smelter Reference List'!$C$4,$S471-4,0)&amp;"")</f>
        <v/>
      </c>
      <c r="E471" s="292" t="str">
        <f ca="1">IF(ISERROR($S471),"",OFFSET('Smelter Reference List'!$D$4,$S471-4,0)&amp;"")</f>
        <v/>
      </c>
      <c r="F471" s="292" t="str">
        <f ca="1">IF(ISERROR($S471),"",OFFSET('Smelter Reference List'!$E$4,$S471-4,0))</f>
        <v/>
      </c>
      <c r="G471" s="292" t="str">
        <f ca="1">IF(C471=$U$4,"Enter smelter details", IF(ISERROR($S471),"",OFFSET('Smelter Reference List'!$F$4,$S471-4,0)))</f>
        <v/>
      </c>
      <c r="H471" s="293" t="str">
        <f ca="1">IF(ISERROR($S471),"",OFFSET('Smelter Reference List'!$G$4,$S471-4,0))</f>
        <v/>
      </c>
      <c r="I471" s="294" t="str">
        <f ca="1">IF(ISERROR($S471),"",OFFSET('Smelter Reference List'!$H$4,$S471-4,0))</f>
        <v/>
      </c>
      <c r="J471" s="294" t="str">
        <f ca="1">IF(ISERROR($S471),"",OFFSET('Smelter Reference List'!$I$4,$S471-4,0))</f>
        <v/>
      </c>
      <c r="K471" s="295"/>
      <c r="L471" s="295"/>
      <c r="M471" s="295"/>
      <c r="N471" s="295"/>
      <c r="O471" s="295"/>
      <c r="P471" s="295"/>
      <c r="Q471" s="296"/>
      <c r="R471" s="227"/>
      <c r="S471" s="228" t="e">
        <f>IF(C471="",NA(),MATCH($B471&amp;$C471,'Smelter Reference List'!$J:$J,0))</f>
        <v>#N/A</v>
      </c>
      <c r="T471" s="229"/>
      <c r="U471" s="229">
        <f t="shared" ca="1" si="16"/>
        <v>0</v>
      </c>
      <c r="V471" s="229"/>
      <c r="W471" s="229"/>
      <c r="Y471" s="223" t="str">
        <f t="shared" si="17"/>
        <v/>
      </c>
    </row>
    <row r="472" spans="1:25" s="223" customFormat="1" ht="20.25">
      <c r="A472" s="291"/>
      <c r="B472" s="292" t="str">
        <f>IF(LEN(A472)=0,"",INDEX('Smelter Reference List'!$A:$A,MATCH($A472,'Smelter Reference List'!$E:$E,0)))</f>
        <v/>
      </c>
      <c r="C472" s="298" t="str">
        <f>IF(LEN(A472)=0,"",INDEX('Smelter Reference List'!$C:$C,MATCH($A472,'Smelter Reference List'!$E:$E,0)))</f>
        <v/>
      </c>
      <c r="D472" s="292" t="str">
        <f ca="1">IF(ISERROR($S472),"",OFFSET('Smelter Reference List'!$C$4,$S472-4,0)&amp;"")</f>
        <v/>
      </c>
      <c r="E472" s="292" t="str">
        <f ca="1">IF(ISERROR($S472),"",OFFSET('Smelter Reference List'!$D$4,$S472-4,0)&amp;"")</f>
        <v/>
      </c>
      <c r="F472" s="292" t="str">
        <f ca="1">IF(ISERROR($S472),"",OFFSET('Smelter Reference List'!$E$4,$S472-4,0))</f>
        <v/>
      </c>
      <c r="G472" s="292" t="str">
        <f ca="1">IF(C472=$U$4,"Enter smelter details", IF(ISERROR($S472),"",OFFSET('Smelter Reference List'!$F$4,$S472-4,0)))</f>
        <v/>
      </c>
      <c r="H472" s="293" t="str">
        <f ca="1">IF(ISERROR($S472),"",OFFSET('Smelter Reference List'!$G$4,$S472-4,0))</f>
        <v/>
      </c>
      <c r="I472" s="294" t="str">
        <f ca="1">IF(ISERROR($S472),"",OFFSET('Smelter Reference List'!$H$4,$S472-4,0))</f>
        <v/>
      </c>
      <c r="J472" s="294" t="str">
        <f ca="1">IF(ISERROR($S472),"",OFFSET('Smelter Reference List'!$I$4,$S472-4,0))</f>
        <v/>
      </c>
      <c r="K472" s="295"/>
      <c r="L472" s="295"/>
      <c r="M472" s="295"/>
      <c r="N472" s="295"/>
      <c r="O472" s="295"/>
      <c r="P472" s="295"/>
      <c r="Q472" s="296"/>
      <c r="R472" s="227"/>
      <c r="S472" s="228" t="e">
        <f>IF(C472="",NA(),MATCH($B472&amp;$C472,'Smelter Reference List'!$J:$J,0))</f>
        <v>#N/A</v>
      </c>
      <c r="T472" s="229"/>
      <c r="U472" s="229">
        <f t="shared" ca="1" si="16"/>
        <v>0</v>
      </c>
      <c r="V472" s="229"/>
      <c r="W472" s="229"/>
      <c r="Y472" s="223" t="str">
        <f t="shared" si="17"/>
        <v/>
      </c>
    </row>
    <row r="473" spans="1:25" s="223" customFormat="1" ht="20.25">
      <c r="A473" s="291"/>
      <c r="B473" s="292" t="str">
        <f>IF(LEN(A473)=0,"",INDEX('Smelter Reference List'!$A:$A,MATCH($A473,'Smelter Reference List'!$E:$E,0)))</f>
        <v/>
      </c>
      <c r="C473" s="298" t="str">
        <f>IF(LEN(A473)=0,"",INDEX('Smelter Reference List'!$C:$C,MATCH($A473,'Smelter Reference List'!$E:$E,0)))</f>
        <v/>
      </c>
      <c r="D473" s="292" t="str">
        <f ca="1">IF(ISERROR($S473),"",OFFSET('Smelter Reference List'!$C$4,$S473-4,0)&amp;"")</f>
        <v/>
      </c>
      <c r="E473" s="292" t="str">
        <f ca="1">IF(ISERROR($S473),"",OFFSET('Smelter Reference List'!$D$4,$S473-4,0)&amp;"")</f>
        <v/>
      </c>
      <c r="F473" s="292" t="str">
        <f ca="1">IF(ISERROR($S473),"",OFFSET('Smelter Reference List'!$E$4,$S473-4,0))</f>
        <v/>
      </c>
      <c r="G473" s="292" t="str">
        <f ca="1">IF(C473=$U$4,"Enter smelter details", IF(ISERROR($S473),"",OFFSET('Smelter Reference List'!$F$4,$S473-4,0)))</f>
        <v/>
      </c>
      <c r="H473" s="293" t="str">
        <f ca="1">IF(ISERROR($S473),"",OFFSET('Smelter Reference List'!$G$4,$S473-4,0))</f>
        <v/>
      </c>
      <c r="I473" s="294" t="str">
        <f ca="1">IF(ISERROR($S473),"",OFFSET('Smelter Reference List'!$H$4,$S473-4,0))</f>
        <v/>
      </c>
      <c r="J473" s="294" t="str">
        <f ca="1">IF(ISERROR($S473),"",OFFSET('Smelter Reference List'!$I$4,$S473-4,0))</f>
        <v/>
      </c>
      <c r="K473" s="295"/>
      <c r="L473" s="295"/>
      <c r="M473" s="295"/>
      <c r="N473" s="295"/>
      <c r="O473" s="295"/>
      <c r="P473" s="295"/>
      <c r="Q473" s="296"/>
      <c r="R473" s="227"/>
      <c r="S473" s="228" t="e">
        <f>IF(C473="",NA(),MATCH($B473&amp;$C473,'Smelter Reference List'!$J:$J,0))</f>
        <v>#N/A</v>
      </c>
      <c r="T473" s="229"/>
      <c r="U473" s="229">
        <f t="shared" ca="1" si="16"/>
        <v>0</v>
      </c>
      <c r="V473" s="229"/>
      <c r="W473" s="229"/>
      <c r="Y473" s="223" t="str">
        <f t="shared" si="17"/>
        <v/>
      </c>
    </row>
    <row r="474" spans="1:25" s="223" customFormat="1" ht="20.25">
      <c r="A474" s="291"/>
      <c r="B474" s="292" t="str">
        <f>IF(LEN(A474)=0,"",INDEX('Smelter Reference List'!$A:$A,MATCH($A474,'Smelter Reference List'!$E:$E,0)))</f>
        <v/>
      </c>
      <c r="C474" s="298" t="str">
        <f>IF(LEN(A474)=0,"",INDEX('Smelter Reference List'!$C:$C,MATCH($A474,'Smelter Reference List'!$E:$E,0)))</f>
        <v/>
      </c>
      <c r="D474" s="292" t="str">
        <f ca="1">IF(ISERROR($S474),"",OFFSET('Smelter Reference List'!$C$4,$S474-4,0)&amp;"")</f>
        <v/>
      </c>
      <c r="E474" s="292" t="str">
        <f ca="1">IF(ISERROR($S474),"",OFFSET('Smelter Reference List'!$D$4,$S474-4,0)&amp;"")</f>
        <v/>
      </c>
      <c r="F474" s="292" t="str">
        <f ca="1">IF(ISERROR($S474),"",OFFSET('Smelter Reference List'!$E$4,$S474-4,0))</f>
        <v/>
      </c>
      <c r="G474" s="292" t="str">
        <f ca="1">IF(C474=$U$4,"Enter smelter details", IF(ISERROR($S474),"",OFFSET('Smelter Reference List'!$F$4,$S474-4,0)))</f>
        <v/>
      </c>
      <c r="H474" s="293" t="str">
        <f ca="1">IF(ISERROR($S474),"",OFFSET('Smelter Reference List'!$G$4,$S474-4,0))</f>
        <v/>
      </c>
      <c r="I474" s="294" t="str">
        <f ca="1">IF(ISERROR($S474),"",OFFSET('Smelter Reference List'!$H$4,$S474-4,0))</f>
        <v/>
      </c>
      <c r="J474" s="294" t="str">
        <f ca="1">IF(ISERROR($S474),"",OFFSET('Smelter Reference List'!$I$4,$S474-4,0))</f>
        <v/>
      </c>
      <c r="K474" s="295"/>
      <c r="L474" s="295"/>
      <c r="M474" s="295"/>
      <c r="N474" s="295"/>
      <c r="O474" s="295"/>
      <c r="P474" s="295"/>
      <c r="Q474" s="296"/>
      <c r="R474" s="227"/>
      <c r="S474" s="228" t="e">
        <f>IF(C474="",NA(),MATCH($B474&amp;$C474,'Smelter Reference List'!$J:$J,0))</f>
        <v>#N/A</v>
      </c>
      <c r="T474" s="229"/>
      <c r="U474" s="229">
        <f t="shared" ca="1" si="16"/>
        <v>0</v>
      </c>
      <c r="V474" s="229"/>
      <c r="W474" s="229"/>
      <c r="Y474" s="223" t="str">
        <f t="shared" si="17"/>
        <v/>
      </c>
    </row>
    <row r="475" spans="1:25" s="223" customFormat="1" ht="20.25">
      <c r="A475" s="291"/>
      <c r="B475" s="292" t="str">
        <f>IF(LEN(A475)=0,"",INDEX('Smelter Reference List'!$A:$A,MATCH($A475,'Smelter Reference List'!$E:$E,0)))</f>
        <v/>
      </c>
      <c r="C475" s="298" t="str">
        <f>IF(LEN(A475)=0,"",INDEX('Smelter Reference List'!$C:$C,MATCH($A475,'Smelter Reference List'!$E:$E,0)))</f>
        <v/>
      </c>
      <c r="D475" s="292" t="str">
        <f ca="1">IF(ISERROR($S475),"",OFFSET('Smelter Reference List'!$C$4,$S475-4,0)&amp;"")</f>
        <v/>
      </c>
      <c r="E475" s="292" t="str">
        <f ca="1">IF(ISERROR($S475),"",OFFSET('Smelter Reference List'!$D$4,$S475-4,0)&amp;"")</f>
        <v/>
      </c>
      <c r="F475" s="292" t="str">
        <f ca="1">IF(ISERROR($S475),"",OFFSET('Smelter Reference List'!$E$4,$S475-4,0))</f>
        <v/>
      </c>
      <c r="G475" s="292" t="str">
        <f ca="1">IF(C475=$U$4,"Enter smelter details", IF(ISERROR($S475),"",OFFSET('Smelter Reference List'!$F$4,$S475-4,0)))</f>
        <v/>
      </c>
      <c r="H475" s="293" t="str">
        <f ca="1">IF(ISERROR($S475),"",OFFSET('Smelter Reference List'!$G$4,$S475-4,0))</f>
        <v/>
      </c>
      <c r="I475" s="294" t="str">
        <f ca="1">IF(ISERROR($S475),"",OFFSET('Smelter Reference List'!$H$4,$S475-4,0))</f>
        <v/>
      </c>
      <c r="J475" s="294" t="str">
        <f ca="1">IF(ISERROR($S475),"",OFFSET('Smelter Reference List'!$I$4,$S475-4,0))</f>
        <v/>
      </c>
      <c r="K475" s="295"/>
      <c r="L475" s="295"/>
      <c r="M475" s="295"/>
      <c r="N475" s="295"/>
      <c r="O475" s="295"/>
      <c r="P475" s="295"/>
      <c r="Q475" s="296"/>
      <c r="R475" s="227"/>
      <c r="S475" s="228" t="e">
        <f>IF(C475="",NA(),MATCH($B475&amp;$C475,'Smelter Reference List'!$J:$J,0))</f>
        <v>#N/A</v>
      </c>
      <c r="T475" s="229"/>
      <c r="U475" s="229">
        <f t="shared" ca="1" si="16"/>
        <v>0</v>
      </c>
      <c r="V475" s="229"/>
      <c r="W475" s="229"/>
      <c r="Y475" s="223" t="str">
        <f t="shared" si="17"/>
        <v/>
      </c>
    </row>
    <row r="476" spans="1:25" s="223" customFormat="1" ht="20.25">
      <c r="A476" s="291"/>
      <c r="B476" s="292" t="str">
        <f>IF(LEN(A476)=0,"",INDEX('Smelter Reference List'!$A:$A,MATCH($A476,'Smelter Reference List'!$E:$E,0)))</f>
        <v/>
      </c>
      <c r="C476" s="298" t="str">
        <f>IF(LEN(A476)=0,"",INDEX('Smelter Reference List'!$C:$C,MATCH($A476,'Smelter Reference List'!$E:$E,0)))</f>
        <v/>
      </c>
      <c r="D476" s="292" t="str">
        <f ca="1">IF(ISERROR($S476),"",OFFSET('Smelter Reference List'!$C$4,$S476-4,0)&amp;"")</f>
        <v/>
      </c>
      <c r="E476" s="292" t="str">
        <f ca="1">IF(ISERROR($S476),"",OFFSET('Smelter Reference List'!$D$4,$S476-4,0)&amp;"")</f>
        <v/>
      </c>
      <c r="F476" s="292" t="str">
        <f ca="1">IF(ISERROR($S476),"",OFFSET('Smelter Reference List'!$E$4,$S476-4,0))</f>
        <v/>
      </c>
      <c r="G476" s="292" t="str">
        <f ca="1">IF(C476=$U$4,"Enter smelter details", IF(ISERROR($S476),"",OFFSET('Smelter Reference List'!$F$4,$S476-4,0)))</f>
        <v/>
      </c>
      <c r="H476" s="293" t="str">
        <f ca="1">IF(ISERROR($S476),"",OFFSET('Smelter Reference List'!$G$4,$S476-4,0))</f>
        <v/>
      </c>
      <c r="I476" s="294" t="str">
        <f ca="1">IF(ISERROR($S476),"",OFFSET('Smelter Reference List'!$H$4,$S476-4,0))</f>
        <v/>
      </c>
      <c r="J476" s="294" t="str">
        <f ca="1">IF(ISERROR($S476),"",OFFSET('Smelter Reference List'!$I$4,$S476-4,0))</f>
        <v/>
      </c>
      <c r="K476" s="295"/>
      <c r="L476" s="295"/>
      <c r="M476" s="295"/>
      <c r="N476" s="295"/>
      <c r="O476" s="295"/>
      <c r="P476" s="295"/>
      <c r="Q476" s="296"/>
      <c r="R476" s="227"/>
      <c r="S476" s="228" t="e">
        <f>IF(C476="",NA(),MATCH($B476&amp;$C476,'Smelter Reference List'!$J:$J,0))</f>
        <v>#N/A</v>
      </c>
      <c r="T476" s="229"/>
      <c r="U476" s="229">
        <f t="shared" ca="1" si="16"/>
        <v>0</v>
      </c>
      <c r="V476" s="229"/>
      <c r="W476" s="229"/>
      <c r="Y476" s="223" t="str">
        <f t="shared" si="17"/>
        <v/>
      </c>
    </row>
    <row r="477" spans="1:25" s="223" customFormat="1" ht="20.25">
      <c r="A477" s="291"/>
      <c r="B477" s="292" t="str">
        <f>IF(LEN(A477)=0,"",INDEX('Smelter Reference List'!$A:$A,MATCH($A477,'Smelter Reference List'!$E:$E,0)))</f>
        <v/>
      </c>
      <c r="C477" s="298" t="str">
        <f>IF(LEN(A477)=0,"",INDEX('Smelter Reference List'!$C:$C,MATCH($A477,'Smelter Reference List'!$E:$E,0)))</f>
        <v/>
      </c>
      <c r="D477" s="292" t="str">
        <f ca="1">IF(ISERROR($S477),"",OFFSET('Smelter Reference List'!$C$4,$S477-4,0)&amp;"")</f>
        <v/>
      </c>
      <c r="E477" s="292" t="str">
        <f ca="1">IF(ISERROR($S477),"",OFFSET('Smelter Reference List'!$D$4,$S477-4,0)&amp;"")</f>
        <v/>
      </c>
      <c r="F477" s="292" t="str">
        <f ca="1">IF(ISERROR($S477),"",OFFSET('Smelter Reference List'!$E$4,$S477-4,0))</f>
        <v/>
      </c>
      <c r="G477" s="292" t="str">
        <f ca="1">IF(C477=$U$4,"Enter smelter details", IF(ISERROR($S477),"",OFFSET('Smelter Reference List'!$F$4,$S477-4,0)))</f>
        <v/>
      </c>
      <c r="H477" s="293" t="str">
        <f ca="1">IF(ISERROR($S477),"",OFFSET('Smelter Reference List'!$G$4,$S477-4,0))</f>
        <v/>
      </c>
      <c r="I477" s="294" t="str">
        <f ca="1">IF(ISERROR($S477),"",OFFSET('Smelter Reference List'!$H$4,$S477-4,0))</f>
        <v/>
      </c>
      <c r="J477" s="294" t="str">
        <f ca="1">IF(ISERROR($S477),"",OFFSET('Smelter Reference List'!$I$4,$S477-4,0))</f>
        <v/>
      </c>
      <c r="K477" s="295"/>
      <c r="L477" s="295"/>
      <c r="M477" s="295"/>
      <c r="N477" s="295"/>
      <c r="O477" s="295"/>
      <c r="P477" s="295"/>
      <c r="Q477" s="296"/>
      <c r="R477" s="227"/>
      <c r="S477" s="228" t="e">
        <f>IF(C477="",NA(),MATCH($B477&amp;$C477,'Smelter Reference List'!$J:$J,0))</f>
        <v>#N/A</v>
      </c>
      <c r="T477" s="229"/>
      <c r="U477" s="229">
        <f t="shared" ca="1" si="16"/>
        <v>0</v>
      </c>
      <c r="V477" s="229"/>
      <c r="W477" s="229"/>
      <c r="Y477" s="223" t="str">
        <f t="shared" si="17"/>
        <v/>
      </c>
    </row>
    <row r="478" spans="1:25" s="223" customFormat="1" ht="20.25">
      <c r="A478" s="291"/>
      <c r="B478" s="292" t="str">
        <f>IF(LEN(A478)=0,"",INDEX('Smelter Reference List'!$A:$A,MATCH($A478,'Smelter Reference List'!$E:$E,0)))</f>
        <v/>
      </c>
      <c r="C478" s="298" t="str">
        <f>IF(LEN(A478)=0,"",INDEX('Smelter Reference List'!$C:$C,MATCH($A478,'Smelter Reference List'!$E:$E,0)))</f>
        <v/>
      </c>
      <c r="D478" s="292" t="str">
        <f ca="1">IF(ISERROR($S478),"",OFFSET('Smelter Reference List'!$C$4,$S478-4,0)&amp;"")</f>
        <v/>
      </c>
      <c r="E478" s="292" t="str">
        <f ca="1">IF(ISERROR($S478),"",OFFSET('Smelter Reference List'!$D$4,$S478-4,0)&amp;"")</f>
        <v/>
      </c>
      <c r="F478" s="292" t="str">
        <f ca="1">IF(ISERROR($S478),"",OFFSET('Smelter Reference List'!$E$4,$S478-4,0))</f>
        <v/>
      </c>
      <c r="G478" s="292" t="str">
        <f ca="1">IF(C478=$U$4,"Enter smelter details", IF(ISERROR($S478),"",OFFSET('Smelter Reference List'!$F$4,$S478-4,0)))</f>
        <v/>
      </c>
      <c r="H478" s="293" t="str">
        <f ca="1">IF(ISERROR($S478),"",OFFSET('Smelter Reference List'!$G$4,$S478-4,0))</f>
        <v/>
      </c>
      <c r="I478" s="294" t="str">
        <f ca="1">IF(ISERROR($S478),"",OFFSET('Smelter Reference List'!$H$4,$S478-4,0))</f>
        <v/>
      </c>
      <c r="J478" s="294" t="str">
        <f ca="1">IF(ISERROR($S478),"",OFFSET('Smelter Reference List'!$I$4,$S478-4,0))</f>
        <v/>
      </c>
      <c r="K478" s="295"/>
      <c r="L478" s="295"/>
      <c r="M478" s="295"/>
      <c r="N478" s="295"/>
      <c r="O478" s="295"/>
      <c r="P478" s="295"/>
      <c r="Q478" s="296"/>
      <c r="R478" s="227"/>
      <c r="S478" s="228" t="e">
        <f>IF(C478="",NA(),MATCH($B478&amp;$C478,'Smelter Reference List'!$J:$J,0))</f>
        <v>#N/A</v>
      </c>
      <c r="T478" s="229"/>
      <c r="U478" s="229">
        <f t="shared" ca="1" si="16"/>
        <v>0</v>
      </c>
      <c r="V478" s="229"/>
      <c r="W478" s="229"/>
      <c r="Y478" s="223" t="str">
        <f t="shared" si="17"/>
        <v/>
      </c>
    </row>
    <row r="479" spans="1:25" s="223" customFormat="1" ht="20.25">
      <c r="A479" s="291"/>
      <c r="B479" s="292" t="str">
        <f>IF(LEN(A479)=0,"",INDEX('Smelter Reference List'!$A:$A,MATCH($A479,'Smelter Reference List'!$E:$E,0)))</f>
        <v/>
      </c>
      <c r="C479" s="298" t="str">
        <f>IF(LEN(A479)=0,"",INDEX('Smelter Reference List'!$C:$C,MATCH($A479,'Smelter Reference List'!$E:$E,0)))</f>
        <v/>
      </c>
      <c r="D479" s="292" t="str">
        <f ca="1">IF(ISERROR($S479),"",OFFSET('Smelter Reference List'!$C$4,$S479-4,0)&amp;"")</f>
        <v/>
      </c>
      <c r="E479" s="292" t="str">
        <f ca="1">IF(ISERROR($S479),"",OFFSET('Smelter Reference List'!$D$4,$S479-4,0)&amp;"")</f>
        <v/>
      </c>
      <c r="F479" s="292" t="str">
        <f ca="1">IF(ISERROR($S479),"",OFFSET('Smelter Reference List'!$E$4,$S479-4,0))</f>
        <v/>
      </c>
      <c r="G479" s="292" t="str">
        <f ca="1">IF(C479=$U$4,"Enter smelter details", IF(ISERROR($S479),"",OFFSET('Smelter Reference List'!$F$4,$S479-4,0)))</f>
        <v/>
      </c>
      <c r="H479" s="293" t="str">
        <f ca="1">IF(ISERROR($S479),"",OFFSET('Smelter Reference List'!$G$4,$S479-4,0))</f>
        <v/>
      </c>
      <c r="I479" s="294" t="str">
        <f ca="1">IF(ISERROR($S479),"",OFFSET('Smelter Reference List'!$H$4,$S479-4,0))</f>
        <v/>
      </c>
      <c r="J479" s="294" t="str">
        <f ca="1">IF(ISERROR($S479),"",OFFSET('Smelter Reference List'!$I$4,$S479-4,0))</f>
        <v/>
      </c>
      <c r="K479" s="295"/>
      <c r="L479" s="295"/>
      <c r="M479" s="295"/>
      <c r="N479" s="295"/>
      <c r="O479" s="295"/>
      <c r="P479" s="295"/>
      <c r="Q479" s="296"/>
      <c r="R479" s="227"/>
      <c r="S479" s="228" t="e">
        <f>IF(C479="",NA(),MATCH($B479&amp;$C479,'Smelter Reference List'!$J:$J,0))</f>
        <v>#N/A</v>
      </c>
      <c r="T479" s="229"/>
      <c r="U479" s="229">
        <f t="shared" ca="1" si="16"/>
        <v>0</v>
      </c>
      <c r="V479" s="229"/>
      <c r="W479" s="229"/>
      <c r="Y479" s="223" t="str">
        <f t="shared" si="17"/>
        <v/>
      </c>
    </row>
    <row r="480" spans="1:25" s="223" customFormat="1" ht="20.25">
      <c r="A480" s="291"/>
      <c r="B480" s="292" t="str">
        <f>IF(LEN(A480)=0,"",INDEX('Smelter Reference List'!$A:$A,MATCH($A480,'Smelter Reference List'!$E:$E,0)))</f>
        <v/>
      </c>
      <c r="C480" s="298" t="str">
        <f>IF(LEN(A480)=0,"",INDEX('Smelter Reference List'!$C:$C,MATCH($A480,'Smelter Reference List'!$E:$E,0)))</f>
        <v/>
      </c>
      <c r="D480" s="292" t="str">
        <f ca="1">IF(ISERROR($S480),"",OFFSET('Smelter Reference List'!$C$4,$S480-4,0)&amp;"")</f>
        <v/>
      </c>
      <c r="E480" s="292" t="str">
        <f ca="1">IF(ISERROR($S480),"",OFFSET('Smelter Reference List'!$D$4,$S480-4,0)&amp;"")</f>
        <v/>
      </c>
      <c r="F480" s="292" t="str">
        <f ca="1">IF(ISERROR($S480),"",OFFSET('Smelter Reference List'!$E$4,$S480-4,0))</f>
        <v/>
      </c>
      <c r="G480" s="292" t="str">
        <f ca="1">IF(C480=$U$4,"Enter smelter details", IF(ISERROR($S480),"",OFFSET('Smelter Reference List'!$F$4,$S480-4,0)))</f>
        <v/>
      </c>
      <c r="H480" s="293" t="str">
        <f ca="1">IF(ISERROR($S480),"",OFFSET('Smelter Reference List'!$G$4,$S480-4,0))</f>
        <v/>
      </c>
      <c r="I480" s="294" t="str">
        <f ca="1">IF(ISERROR($S480),"",OFFSET('Smelter Reference List'!$H$4,$S480-4,0))</f>
        <v/>
      </c>
      <c r="J480" s="294" t="str">
        <f ca="1">IF(ISERROR($S480),"",OFFSET('Smelter Reference List'!$I$4,$S480-4,0))</f>
        <v/>
      </c>
      <c r="K480" s="295"/>
      <c r="L480" s="295"/>
      <c r="M480" s="295"/>
      <c r="N480" s="295"/>
      <c r="O480" s="295"/>
      <c r="P480" s="295"/>
      <c r="Q480" s="296"/>
      <c r="R480" s="227"/>
      <c r="S480" s="228" t="e">
        <f>IF(C480="",NA(),MATCH($B480&amp;$C480,'Smelter Reference List'!$J:$J,0))</f>
        <v>#N/A</v>
      </c>
      <c r="T480" s="229"/>
      <c r="U480" s="229">
        <f t="shared" ca="1" si="16"/>
        <v>0</v>
      </c>
      <c r="V480" s="229"/>
      <c r="W480" s="229"/>
      <c r="Y480" s="223" t="str">
        <f t="shared" si="17"/>
        <v/>
      </c>
    </row>
    <row r="481" spans="1:25" s="223" customFormat="1" ht="20.25">
      <c r="A481" s="291"/>
      <c r="B481" s="292" t="str">
        <f>IF(LEN(A481)=0,"",INDEX('Smelter Reference List'!$A:$A,MATCH($A481,'Smelter Reference List'!$E:$E,0)))</f>
        <v/>
      </c>
      <c r="C481" s="298" t="str">
        <f>IF(LEN(A481)=0,"",INDEX('Smelter Reference List'!$C:$C,MATCH($A481,'Smelter Reference List'!$E:$E,0)))</f>
        <v/>
      </c>
      <c r="D481" s="292" t="str">
        <f ca="1">IF(ISERROR($S481),"",OFFSET('Smelter Reference List'!$C$4,$S481-4,0)&amp;"")</f>
        <v/>
      </c>
      <c r="E481" s="292" t="str">
        <f ca="1">IF(ISERROR($S481),"",OFFSET('Smelter Reference List'!$D$4,$S481-4,0)&amp;"")</f>
        <v/>
      </c>
      <c r="F481" s="292" t="str">
        <f ca="1">IF(ISERROR($S481),"",OFFSET('Smelter Reference List'!$E$4,$S481-4,0))</f>
        <v/>
      </c>
      <c r="G481" s="292" t="str">
        <f ca="1">IF(C481=$U$4,"Enter smelter details", IF(ISERROR($S481),"",OFFSET('Smelter Reference List'!$F$4,$S481-4,0)))</f>
        <v/>
      </c>
      <c r="H481" s="293" t="str">
        <f ca="1">IF(ISERROR($S481),"",OFFSET('Smelter Reference List'!$G$4,$S481-4,0))</f>
        <v/>
      </c>
      <c r="I481" s="294" t="str">
        <f ca="1">IF(ISERROR($S481),"",OFFSET('Smelter Reference List'!$H$4,$S481-4,0))</f>
        <v/>
      </c>
      <c r="J481" s="294" t="str">
        <f ca="1">IF(ISERROR($S481),"",OFFSET('Smelter Reference List'!$I$4,$S481-4,0))</f>
        <v/>
      </c>
      <c r="K481" s="295"/>
      <c r="L481" s="295"/>
      <c r="M481" s="295"/>
      <c r="N481" s="295"/>
      <c r="O481" s="295"/>
      <c r="P481" s="295"/>
      <c r="Q481" s="296"/>
      <c r="R481" s="227"/>
      <c r="S481" s="228" t="e">
        <f>IF(C481="",NA(),MATCH($B481&amp;$C481,'Smelter Reference List'!$J:$J,0))</f>
        <v>#N/A</v>
      </c>
      <c r="T481" s="229"/>
      <c r="U481" s="229">
        <f t="shared" ca="1" si="16"/>
        <v>0</v>
      </c>
      <c r="V481" s="229"/>
      <c r="W481" s="229"/>
      <c r="Y481" s="223" t="str">
        <f t="shared" si="17"/>
        <v/>
      </c>
    </row>
    <row r="482" spans="1:25" s="223" customFormat="1" ht="20.25">
      <c r="A482" s="291"/>
      <c r="B482" s="292" t="str">
        <f>IF(LEN(A482)=0,"",INDEX('Smelter Reference List'!$A:$A,MATCH($A482,'Smelter Reference List'!$E:$E,0)))</f>
        <v/>
      </c>
      <c r="C482" s="298" t="str">
        <f>IF(LEN(A482)=0,"",INDEX('Smelter Reference List'!$C:$C,MATCH($A482,'Smelter Reference List'!$E:$E,0)))</f>
        <v/>
      </c>
      <c r="D482" s="292" t="str">
        <f ca="1">IF(ISERROR($S482),"",OFFSET('Smelter Reference List'!$C$4,$S482-4,0)&amp;"")</f>
        <v/>
      </c>
      <c r="E482" s="292" t="str">
        <f ca="1">IF(ISERROR($S482),"",OFFSET('Smelter Reference List'!$D$4,$S482-4,0)&amp;"")</f>
        <v/>
      </c>
      <c r="F482" s="292" t="str">
        <f ca="1">IF(ISERROR($S482),"",OFFSET('Smelter Reference List'!$E$4,$S482-4,0))</f>
        <v/>
      </c>
      <c r="G482" s="292" t="str">
        <f ca="1">IF(C482=$U$4,"Enter smelter details", IF(ISERROR($S482),"",OFFSET('Smelter Reference List'!$F$4,$S482-4,0)))</f>
        <v/>
      </c>
      <c r="H482" s="293" t="str">
        <f ca="1">IF(ISERROR($S482),"",OFFSET('Smelter Reference List'!$G$4,$S482-4,0))</f>
        <v/>
      </c>
      <c r="I482" s="294" t="str">
        <f ca="1">IF(ISERROR($S482),"",OFFSET('Smelter Reference List'!$H$4,$S482-4,0))</f>
        <v/>
      </c>
      <c r="J482" s="294" t="str">
        <f ca="1">IF(ISERROR($S482),"",OFFSET('Smelter Reference List'!$I$4,$S482-4,0))</f>
        <v/>
      </c>
      <c r="K482" s="295"/>
      <c r="L482" s="295"/>
      <c r="M482" s="295"/>
      <c r="N482" s="295"/>
      <c r="O482" s="295"/>
      <c r="P482" s="295"/>
      <c r="Q482" s="296"/>
      <c r="R482" s="227"/>
      <c r="S482" s="228" t="e">
        <f>IF(C482="",NA(),MATCH($B482&amp;$C482,'Smelter Reference List'!$J:$J,0))</f>
        <v>#N/A</v>
      </c>
      <c r="T482" s="229"/>
      <c r="U482" s="229">
        <f t="shared" ca="1" si="16"/>
        <v>0</v>
      </c>
      <c r="V482" s="229"/>
      <c r="W482" s="229"/>
      <c r="Y482" s="223" t="str">
        <f t="shared" si="17"/>
        <v/>
      </c>
    </row>
    <row r="483" spans="1:25" s="223" customFormat="1" ht="20.25">
      <c r="A483" s="291"/>
      <c r="B483" s="292" t="str">
        <f>IF(LEN(A483)=0,"",INDEX('Smelter Reference List'!$A:$A,MATCH($A483,'Smelter Reference List'!$E:$E,0)))</f>
        <v/>
      </c>
      <c r="C483" s="298" t="str">
        <f>IF(LEN(A483)=0,"",INDEX('Smelter Reference List'!$C:$C,MATCH($A483,'Smelter Reference List'!$E:$E,0)))</f>
        <v/>
      </c>
      <c r="D483" s="292" t="str">
        <f ca="1">IF(ISERROR($S483),"",OFFSET('Smelter Reference List'!$C$4,$S483-4,0)&amp;"")</f>
        <v/>
      </c>
      <c r="E483" s="292" t="str">
        <f ca="1">IF(ISERROR($S483),"",OFFSET('Smelter Reference List'!$D$4,$S483-4,0)&amp;"")</f>
        <v/>
      </c>
      <c r="F483" s="292" t="str">
        <f ca="1">IF(ISERROR($S483),"",OFFSET('Smelter Reference List'!$E$4,$S483-4,0))</f>
        <v/>
      </c>
      <c r="G483" s="292" t="str">
        <f ca="1">IF(C483=$U$4,"Enter smelter details", IF(ISERROR($S483),"",OFFSET('Smelter Reference List'!$F$4,$S483-4,0)))</f>
        <v/>
      </c>
      <c r="H483" s="293" t="str">
        <f ca="1">IF(ISERROR($S483),"",OFFSET('Smelter Reference List'!$G$4,$S483-4,0))</f>
        <v/>
      </c>
      <c r="I483" s="294" t="str">
        <f ca="1">IF(ISERROR($S483),"",OFFSET('Smelter Reference List'!$H$4,$S483-4,0))</f>
        <v/>
      </c>
      <c r="J483" s="294" t="str">
        <f ca="1">IF(ISERROR($S483),"",OFFSET('Smelter Reference List'!$I$4,$S483-4,0))</f>
        <v/>
      </c>
      <c r="K483" s="295"/>
      <c r="L483" s="295"/>
      <c r="M483" s="295"/>
      <c r="N483" s="295"/>
      <c r="O483" s="295"/>
      <c r="P483" s="295"/>
      <c r="Q483" s="296"/>
      <c r="R483" s="227"/>
      <c r="S483" s="228" t="e">
        <f>IF(C483="",NA(),MATCH($B483&amp;$C483,'Smelter Reference List'!$J:$J,0))</f>
        <v>#N/A</v>
      </c>
      <c r="T483" s="229"/>
      <c r="U483" s="229">
        <f t="shared" ca="1" si="16"/>
        <v>0</v>
      </c>
      <c r="V483" s="229"/>
      <c r="W483" s="229"/>
      <c r="Y483" s="223" t="str">
        <f t="shared" si="17"/>
        <v/>
      </c>
    </row>
    <row r="484" spans="1:25" s="223" customFormat="1" ht="20.25">
      <c r="A484" s="291"/>
      <c r="B484" s="292" t="str">
        <f>IF(LEN(A484)=0,"",INDEX('Smelter Reference List'!$A:$A,MATCH($A484,'Smelter Reference List'!$E:$E,0)))</f>
        <v/>
      </c>
      <c r="C484" s="298" t="str">
        <f>IF(LEN(A484)=0,"",INDEX('Smelter Reference List'!$C:$C,MATCH($A484,'Smelter Reference List'!$E:$E,0)))</f>
        <v/>
      </c>
      <c r="D484" s="292" t="str">
        <f ca="1">IF(ISERROR($S484),"",OFFSET('Smelter Reference List'!$C$4,$S484-4,0)&amp;"")</f>
        <v/>
      </c>
      <c r="E484" s="292" t="str">
        <f ca="1">IF(ISERROR($S484),"",OFFSET('Smelter Reference List'!$D$4,$S484-4,0)&amp;"")</f>
        <v/>
      </c>
      <c r="F484" s="292" t="str">
        <f ca="1">IF(ISERROR($S484),"",OFFSET('Smelter Reference List'!$E$4,$S484-4,0))</f>
        <v/>
      </c>
      <c r="G484" s="292" t="str">
        <f ca="1">IF(C484=$U$4,"Enter smelter details", IF(ISERROR($S484),"",OFFSET('Smelter Reference List'!$F$4,$S484-4,0)))</f>
        <v/>
      </c>
      <c r="H484" s="293" t="str">
        <f ca="1">IF(ISERROR($S484),"",OFFSET('Smelter Reference List'!$G$4,$S484-4,0))</f>
        <v/>
      </c>
      <c r="I484" s="294" t="str">
        <f ca="1">IF(ISERROR($S484),"",OFFSET('Smelter Reference List'!$H$4,$S484-4,0))</f>
        <v/>
      </c>
      <c r="J484" s="294" t="str">
        <f ca="1">IF(ISERROR($S484),"",OFFSET('Smelter Reference List'!$I$4,$S484-4,0))</f>
        <v/>
      </c>
      <c r="K484" s="295"/>
      <c r="L484" s="295"/>
      <c r="M484" s="295"/>
      <c r="N484" s="295"/>
      <c r="O484" s="295"/>
      <c r="P484" s="295"/>
      <c r="Q484" s="296"/>
      <c r="R484" s="227"/>
      <c r="S484" s="228" t="e">
        <f>IF(C484="",NA(),MATCH($B484&amp;$C484,'Smelter Reference List'!$J:$J,0))</f>
        <v>#N/A</v>
      </c>
      <c r="T484" s="229"/>
      <c r="U484" s="229">
        <f t="shared" ca="1" si="16"/>
        <v>0</v>
      </c>
      <c r="V484" s="229"/>
      <c r="W484" s="229"/>
      <c r="Y484" s="223" t="str">
        <f t="shared" si="17"/>
        <v/>
      </c>
    </row>
    <row r="485" spans="1:25" s="223" customFormat="1" ht="20.25">
      <c r="A485" s="291"/>
      <c r="B485" s="292" t="str">
        <f>IF(LEN(A485)=0,"",INDEX('Smelter Reference List'!$A:$A,MATCH($A485,'Smelter Reference List'!$E:$E,0)))</f>
        <v/>
      </c>
      <c r="C485" s="298" t="str">
        <f>IF(LEN(A485)=0,"",INDEX('Smelter Reference List'!$C:$C,MATCH($A485,'Smelter Reference List'!$E:$E,0)))</f>
        <v/>
      </c>
      <c r="D485" s="292" t="str">
        <f ca="1">IF(ISERROR($S485),"",OFFSET('Smelter Reference List'!$C$4,$S485-4,0)&amp;"")</f>
        <v/>
      </c>
      <c r="E485" s="292" t="str">
        <f ca="1">IF(ISERROR($S485),"",OFFSET('Smelter Reference List'!$D$4,$S485-4,0)&amp;"")</f>
        <v/>
      </c>
      <c r="F485" s="292" t="str">
        <f ca="1">IF(ISERROR($S485),"",OFFSET('Smelter Reference List'!$E$4,$S485-4,0))</f>
        <v/>
      </c>
      <c r="G485" s="292" t="str">
        <f ca="1">IF(C485=$U$4,"Enter smelter details", IF(ISERROR($S485),"",OFFSET('Smelter Reference List'!$F$4,$S485-4,0)))</f>
        <v/>
      </c>
      <c r="H485" s="293" t="str">
        <f ca="1">IF(ISERROR($S485),"",OFFSET('Smelter Reference List'!$G$4,$S485-4,0))</f>
        <v/>
      </c>
      <c r="I485" s="294" t="str">
        <f ca="1">IF(ISERROR($S485),"",OFFSET('Smelter Reference List'!$H$4,$S485-4,0))</f>
        <v/>
      </c>
      <c r="J485" s="294" t="str">
        <f ca="1">IF(ISERROR($S485),"",OFFSET('Smelter Reference List'!$I$4,$S485-4,0))</f>
        <v/>
      </c>
      <c r="K485" s="295"/>
      <c r="L485" s="295"/>
      <c r="M485" s="295"/>
      <c r="N485" s="295"/>
      <c r="O485" s="295"/>
      <c r="P485" s="295"/>
      <c r="Q485" s="296"/>
      <c r="R485" s="227"/>
      <c r="S485" s="228" t="e">
        <f>IF(C485="",NA(),MATCH($B485&amp;$C485,'Smelter Reference List'!$J:$J,0))</f>
        <v>#N/A</v>
      </c>
      <c r="T485" s="229"/>
      <c r="U485" s="229">
        <f t="shared" ca="1" si="16"/>
        <v>0</v>
      </c>
      <c r="V485" s="229"/>
      <c r="W485" s="229"/>
      <c r="Y485" s="223" t="str">
        <f t="shared" si="17"/>
        <v/>
      </c>
    </row>
    <row r="486" spans="1:25" s="223" customFormat="1" ht="20.25">
      <c r="A486" s="291"/>
      <c r="B486" s="292" t="str">
        <f>IF(LEN(A486)=0,"",INDEX('Smelter Reference List'!$A:$A,MATCH($A486,'Smelter Reference List'!$E:$E,0)))</f>
        <v/>
      </c>
      <c r="C486" s="298" t="str">
        <f>IF(LEN(A486)=0,"",INDEX('Smelter Reference List'!$C:$C,MATCH($A486,'Smelter Reference List'!$E:$E,0)))</f>
        <v/>
      </c>
      <c r="D486" s="292" t="str">
        <f ca="1">IF(ISERROR($S486),"",OFFSET('Smelter Reference List'!$C$4,$S486-4,0)&amp;"")</f>
        <v/>
      </c>
      <c r="E486" s="292" t="str">
        <f ca="1">IF(ISERROR($S486),"",OFFSET('Smelter Reference List'!$D$4,$S486-4,0)&amp;"")</f>
        <v/>
      </c>
      <c r="F486" s="292" t="str">
        <f ca="1">IF(ISERROR($S486),"",OFFSET('Smelter Reference List'!$E$4,$S486-4,0))</f>
        <v/>
      </c>
      <c r="G486" s="292" t="str">
        <f ca="1">IF(C486=$U$4,"Enter smelter details", IF(ISERROR($S486),"",OFFSET('Smelter Reference List'!$F$4,$S486-4,0)))</f>
        <v/>
      </c>
      <c r="H486" s="293" t="str">
        <f ca="1">IF(ISERROR($S486),"",OFFSET('Smelter Reference List'!$G$4,$S486-4,0))</f>
        <v/>
      </c>
      <c r="I486" s="294" t="str">
        <f ca="1">IF(ISERROR($S486),"",OFFSET('Smelter Reference List'!$H$4,$S486-4,0))</f>
        <v/>
      </c>
      <c r="J486" s="294" t="str">
        <f ca="1">IF(ISERROR($S486),"",OFFSET('Smelter Reference List'!$I$4,$S486-4,0))</f>
        <v/>
      </c>
      <c r="K486" s="295"/>
      <c r="L486" s="295"/>
      <c r="M486" s="295"/>
      <c r="N486" s="295"/>
      <c r="O486" s="295"/>
      <c r="P486" s="295"/>
      <c r="Q486" s="296"/>
      <c r="R486" s="227"/>
      <c r="S486" s="228" t="e">
        <f>IF(C486="",NA(),MATCH($B486&amp;$C486,'Smelter Reference List'!$J:$J,0))</f>
        <v>#N/A</v>
      </c>
      <c r="T486" s="229"/>
      <c r="U486" s="229">
        <f t="shared" ca="1" si="16"/>
        <v>0</v>
      </c>
      <c r="V486" s="229"/>
      <c r="W486" s="229"/>
      <c r="Y486" s="223" t="str">
        <f t="shared" si="17"/>
        <v/>
      </c>
    </row>
    <row r="487" spans="1:25" s="223" customFormat="1" ht="20.25">
      <c r="A487" s="291"/>
      <c r="B487" s="292" t="str">
        <f>IF(LEN(A487)=0,"",INDEX('Smelter Reference List'!$A:$A,MATCH($A487,'Smelter Reference List'!$E:$E,0)))</f>
        <v/>
      </c>
      <c r="C487" s="298" t="str">
        <f>IF(LEN(A487)=0,"",INDEX('Smelter Reference List'!$C:$C,MATCH($A487,'Smelter Reference List'!$E:$E,0)))</f>
        <v/>
      </c>
      <c r="D487" s="292" t="str">
        <f ca="1">IF(ISERROR($S487),"",OFFSET('Smelter Reference List'!$C$4,$S487-4,0)&amp;"")</f>
        <v/>
      </c>
      <c r="E487" s="292" t="str">
        <f ca="1">IF(ISERROR($S487),"",OFFSET('Smelter Reference List'!$D$4,$S487-4,0)&amp;"")</f>
        <v/>
      </c>
      <c r="F487" s="292" t="str">
        <f ca="1">IF(ISERROR($S487),"",OFFSET('Smelter Reference List'!$E$4,$S487-4,0))</f>
        <v/>
      </c>
      <c r="G487" s="292" t="str">
        <f ca="1">IF(C487=$U$4,"Enter smelter details", IF(ISERROR($S487),"",OFFSET('Smelter Reference List'!$F$4,$S487-4,0)))</f>
        <v/>
      </c>
      <c r="H487" s="293" t="str">
        <f ca="1">IF(ISERROR($S487),"",OFFSET('Smelter Reference List'!$G$4,$S487-4,0))</f>
        <v/>
      </c>
      <c r="I487" s="294" t="str">
        <f ca="1">IF(ISERROR($S487),"",OFFSET('Smelter Reference List'!$H$4,$S487-4,0))</f>
        <v/>
      </c>
      <c r="J487" s="294" t="str">
        <f ca="1">IF(ISERROR($S487),"",OFFSET('Smelter Reference List'!$I$4,$S487-4,0))</f>
        <v/>
      </c>
      <c r="K487" s="295"/>
      <c r="L487" s="295"/>
      <c r="M487" s="295"/>
      <c r="N487" s="295"/>
      <c r="O487" s="295"/>
      <c r="P487" s="295"/>
      <c r="Q487" s="296"/>
      <c r="R487" s="227"/>
      <c r="S487" s="228" t="e">
        <f>IF(C487="",NA(),MATCH($B487&amp;$C487,'Smelter Reference List'!$J:$J,0))</f>
        <v>#N/A</v>
      </c>
      <c r="T487" s="229"/>
      <c r="U487" s="229">
        <f t="shared" ca="1" si="16"/>
        <v>0</v>
      </c>
      <c r="V487" s="229"/>
      <c r="W487" s="229"/>
      <c r="Y487" s="223" t="str">
        <f t="shared" si="17"/>
        <v/>
      </c>
    </row>
    <row r="488" spans="1:25" s="223" customFormat="1" ht="20.25">
      <c r="A488" s="291"/>
      <c r="B488" s="292" t="str">
        <f>IF(LEN(A488)=0,"",INDEX('Smelter Reference List'!$A:$A,MATCH($A488,'Smelter Reference List'!$E:$E,0)))</f>
        <v/>
      </c>
      <c r="C488" s="298" t="str">
        <f>IF(LEN(A488)=0,"",INDEX('Smelter Reference List'!$C:$C,MATCH($A488,'Smelter Reference List'!$E:$E,0)))</f>
        <v/>
      </c>
      <c r="D488" s="292" t="str">
        <f ca="1">IF(ISERROR($S488),"",OFFSET('Smelter Reference List'!$C$4,$S488-4,0)&amp;"")</f>
        <v/>
      </c>
      <c r="E488" s="292" t="str">
        <f ca="1">IF(ISERROR($S488),"",OFFSET('Smelter Reference List'!$D$4,$S488-4,0)&amp;"")</f>
        <v/>
      </c>
      <c r="F488" s="292" t="str">
        <f ca="1">IF(ISERROR($S488),"",OFFSET('Smelter Reference List'!$E$4,$S488-4,0))</f>
        <v/>
      </c>
      <c r="G488" s="292" t="str">
        <f ca="1">IF(C488=$U$4,"Enter smelter details", IF(ISERROR($S488),"",OFFSET('Smelter Reference List'!$F$4,$S488-4,0)))</f>
        <v/>
      </c>
      <c r="H488" s="293" t="str">
        <f ca="1">IF(ISERROR($S488),"",OFFSET('Smelter Reference List'!$G$4,$S488-4,0))</f>
        <v/>
      </c>
      <c r="I488" s="294" t="str">
        <f ca="1">IF(ISERROR($S488),"",OFFSET('Smelter Reference List'!$H$4,$S488-4,0))</f>
        <v/>
      </c>
      <c r="J488" s="294" t="str">
        <f ca="1">IF(ISERROR($S488),"",OFFSET('Smelter Reference List'!$I$4,$S488-4,0))</f>
        <v/>
      </c>
      <c r="K488" s="295"/>
      <c r="L488" s="295"/>
      <c r="M488" s="295"/>
      <c r="N488" s="295"/>
      <c r="O488" s="295"/>
      <c r="P488" s="295"/>
      <c r="Q488" s="296"/>
      <c r="R488" s="227"/>
      <c r="S488" s="228" t="e">
        <f>IF(C488="",NA(),MATCH($B488&amp;$C488,'Smelter Reference List'!$J:$J,0))</f>
        <v>#N/A</v>
      </c>
      <c r="T488" s="229"/>
      <c r="U488" s="229">
        <f t="shared" ca="1" si="16"/>
        <v>0</v>
      </c>
      <c r="V488" s="229"/>
      <c r="W488" s="229"/>
      <c r="Y488" s="223" t="str">
        <f t="shared" si="17"/>
        <v/>
      </c>
    </row>
    <row r="489" spans="1:25" s="223" customFormat="1" ht="20.25">
      <c r="A489" s="291"/>
      <c r="B489" s="292" t="str">
        <f>IF(LEN(A489)=0,"",INDEX('Smelter Reference List'!$A:$A,MATCH($A489,'Smelter Reference List'!$E:$E,0)))</f>
        <v/>
      </c>
      <c r="C489" s="298" t="str">
        <f>IF(LEN(A489)=0,"",INDEX('Smelter Reference List'!$C:$C,MATCH($A489,'Smelter Reference List'!$E:$E,0)))</f>
        <v/>
      </c>
      <c r="D489" s="292" t="str">
        <f ca="1">IF(ISERROR($S489),"",OFFSET('Smelter Reference List'!$C$4,$S489-4,0)&amp;"")</f>
        <v/>
      </c>
      <c r="E489" s="292" t="str">
        <f ca="1">IF(ISERROR($S489),"",OFFSET('Smelter Reference List'!$D$4,$S489-4,0)&amp;"")</f>
        <v/>
      </c>
      <c r="F489" s="292" t="str">
        <f ca="1">IF(ISERROR($S489),"",OFFSET('Smelter Reference List'!$E$4,$S489-4,0))</f>
        <v/>
      </c>
      <c r="G489" s="292" t="str">
        <f ca="1">IF(C489=$U$4,"Enter smelter details", IF(ISERROR($S489),"",OFFSET('Smelter Reference List'!$F$4,$S489-4,0)))</f>
        <v/>
      </c>
      <c r="H489" s="293" t="str">
        <f ca="1">IF(ISERROR($S489),"",OFFSET('Smelter Reference List'!$G$4,$S489-4,0))</f>
        <v/>
      </c>
      <c r="I489" s="294" t="str">
        <f ca="1">IF(ISERROR($S489),"",OFFSET('Smelter Reference List'!$H$4,$S489-4,0))</f>
        <v/>
      </c>
      <c r="J489" s="294" t="str">
        <f ca="1">IF(ISERROR($S489),"",OFFSET('Smelter Reference List'!$I$4,$S489-4,0))</f>
        <v/>
      </c>
      <c r="K489" s="295"/>
      <c r="L489" s="295"/>
      <c r="M489" s="295"/>
      <c r="N489" s="295"/>
      <c r="O489" s="295"/>
      <c r="P489" s="295"/>
      <c r="Q489" s="296"/>
      <c r="R489" s="227"/>
      <c r="S489" s="228" t="e">
        <f>IF(C489="",NA(),MATCH($B489&amp;$C489,'Smelter Reference List'!$J:$J,0))</f>
        <v>#N/A</v>
      </c>
      <c r="T489" s="229"/>
      <c r="U489" s="229">
        <f t="shared" ca="1" si="16"/>
        <v>0</v>
      </c>
      <c r="V489" s="229"/>
      <c r="W489" s="229"/>
      <c r="Y489" s="223" t="str">
        <f t="shared" si="17"/>
        <v/>
      </c>
    </row>
    <row r="490" spans="1:25" s="223" customFormat="1" ht="20.25">
      <c r="A490" s="291"/>
      <c r="B490" s="292" t="str">
        <f>IF(LEN(A490)=0,"",INDEX('Smelter Reference List'!$A:$A,MATCH($A490,'Smelter Reference List'!$E:$E,0)))</f>
        <v/>
      </c>
      <c r="C490" s="298" t="str">
        <f>IF(LEN(A490)=0,"",INDEX('Smelter Reference List'!$C:$C,MATCH($A490,'Smelter Reference List'!$E:$E,0)))</f>
        <v/>
      </c>
      <c r="D490" s="292" t="str">
        <f ca="1">IF(ISERROR($S490),"",OFFSET('Smelter Reference List'!$C$4,$S490-4,0)&amp;"")</f>
        <v/>
      </c>
      <c r="E490" s="292" t="str">
        <f ca="1">IF(ISERROR($S490),"",OFFSET('Smelter Reference List'!$D$4,$S490-4,0)&amp;"")</f>
        <v/>
      </c>
      <c r="F490" s="292" t="str">
        <f ca="1">IF(ISERROR($S490),"",OFFSET('Smelter Reference List'!$E$4,$S490-4,0))</f>
        <v/>
      </c>
      <c r="G490" s="292" t="str">
        <f ca="1">IF(C490=$U$4,"Enter smelter details", IF(ISERROR($S490),"",OFFSET('Smelter Reference List'!$F$4,$S490-4,0)))</f>
        <v/>
      </c>
      <c r="H490" s="293" t="str">
        <f ca="1">IF(ISERROR($S490),"",OFFSET('Smelter Reference List'!$G$4,$S490-4,0))</f>
        <v/>
      </c>
      <c r="I490" s="294" t="str">
        <f ca="1">IF(ISERROR($S490),"",OFFSET('Smelter Reference List'!$H$4,$S490-4,0))</f>
        <v/>
      </c>
      <c r="J490" s="294" t="str">
        <f ca="1">IF(ISERROR($S490),"",OFFSET('Smelter Reference List'!$I$4,$S490-4,0))</f>
        <v/>
      </c>
      <c r="K490" s="295"/>
      <c r="L490" s="295"/>
      <c r="M490" s="295"/>
      <c r="N490" s="295"/>
      <c r="O490" s="295"/>
      <c r="P490" s="295"/>
      <c r="Q490" s="296"/>
      <c r="R490" s="227"/>
      <c r="S490" s="228" t="e">
        <f>IF(C490="",NA(),MATCH($B490&amp;$C490,'Smelter Reference List'!$J:$J,0))</f>
        <v>#N/A</v>
      </c>
      <c r="T490" s="229"/>
      <c r="U490" s="229">
        <f t="shared" ca="1" si="16"/>
        <v>0</v>
      </c>
      <c r="V490" s="229"/>
      <c r="W490" s="229"/>
      <c r="Y490" s="223" t="str">
        <f t="shared" si="17"/>
        <v/>
      </c>
    </row>
    <row r="491" spans="1:25" s="223" customFormat="1" ht="20.25">
      <c r="A491" s="291"/>
      <c r="B491" s="292" t="str">
        <f>IF(LEN(A491)=0,"",INDEX('Smelter Reference List'!$A:$A,MATCH($A491,'Smelter Reference List'!$E:$E,0)))</f>
        <v/>
      </c>
      <c r="C491" s="298" t="str">
        <f>IF(LEN(A491)=0,"",INDEX('Smelter Reference List'!$C:$C,MATCH($A491,'Smelter Reference List'!$E:$E,0)))</f>
        <v/>
      </c>
      <c r="D491" s="292" t="str">
        <f ca="1">IF(ISERROR($S491),"",OFFSET('Smelter Reference List'!$C$4,$S491-4,0)&amp;"")</f>
        <v/>
      </c>
      <c r="E491" s="292" t="str">
        <f ca="1">IF(ISERROR($S491),"",OFFSET('Smelter Reference List'!$D$4,$S491-4,0)&amp;"")</f>
        <v/>
      </c>
      <c r="F491" s="292" t="str">
        <f ca="1">IF(ISERROR($S491),"",OFFSET('Smelter Reference List'!$E$4,$S491-4,0))</f>
        <v/>
      </c>
      <c r="G491" s="292" t="str">
        <f ca="1">IF(C491=$U$4,"Enter smelter details", IF(ISERROR($S491),"",OFFSET('Smelter Reference List'!$F$4,$S491-4,0)))</f>
        <v/>
      </c>
      <c r="H491" s="293" t="str">
        <f ca="1">IF(ISERROR($S491),"",OFFSET('Smelter Reference List'!$G$4,$S491-4,0))</f>
        <v/>
      </c>
      <c r="I491" s="294" t="str">
        <f ca="1">IF(ISERROR($S491),"",OFFSET('Smelter Reference List'!$H$4,$S491-4,0))</f>
        <v/>
      </c>
      <c r="J491" s="294" t="str">
        <f ca="1">IF(ISERROR($S491),"",OFFSET('Smelter Reference List'!$I$4,$S491-4,0))</f>
        <v/>
      </c>
      <c r="K491" s="295"/>
      <c r="L491" s="295"/>
      <c r="M491" s="295"/>
      <c r="N491" s="295"/>
      <c r="O491" s="295"/>
      <c r="P491" s="295"/>
      <c r="Q491" s="296"/>
      <c r="R491" s="227"/>
      <c r="S491" s="228" t="e">
        <f>IF(C491="",NA(),MATCH($B491&amp;$C491,'Smelter Reference List'!$J:$J,0))</f>
        <v>#N/A</v>
      </c>
      <c r="T491" s="229"/>
      <c r="U491" s="229">
        <f t="shared" ca="1" si="16"/>
        <v>0</v>
      </c>
      <c r="V491" s="229"/>
      <c r="W491" s="229"/>
      <c r="Y491" s="223" t="str">
        <f t="shared" si="17"/>
        <v/>
      </c>
    </row>
    <row r="492" spans="1:25" s="223" customFormat="1" ht="20.25">
      <c r="A492" s="291"/>
      <c r="B492" s="292" t="str">
        <f>IF(LEN(A492)=0,"",INDEX('Smelter Reference List'!$A:$A,MATCH($A492,'Smelter Reference List'!$E:$E,0)))</f>
        <v/>
      </c>
      <c r="C492" s="298" t="str">
        <f>IF(LEN(A492)=0,"",INDEX('Smelter Reference List'!$C:$C,MATCH($A492,'Smelter Reference List'!$E:$E,0)))</f>
        <v/>
      </c>
      <c r="D492" s="292" t="str">
        <f ca="1">IF(ISERROR($S492),"",OFFSET('Smelter Reference List'!$C$4,$S492-4,0)&amp;"")</f>
        <v/>
      </c>
      <c r="E492" s="292" t="str">
        <f ca="1">IF(ISERROR($S492),"",OFFSET('Smelter Reference List'!$D$4,$S492-4,0)&amp;"")</f>
        <v/>
      </c>
      <c r="F492" s="292" t="str">
        <f ca="1">IF(ISERROR($S492),"",OFFSET('Smelter Reference List'!$E$4,$S492-4,0))</f>
        <v/>
      </c>
      <c r="G492" s="292" t="str">
        <f ca="1">IF(C492=$U$4,"Enter smelter details", IF(ISERROR($S492),"",OFFSET('Smelter Reference List'!$F$4,$S492-4,0)))</f>
        <v/>
      </c>
      <c r="H492" s="293" t="str">
        <f ca="1">IF(ISERROR($S492),"",OFFSET('Smelter Reference List'!$G$4,$S492-4,0))</f>
        <v/>
      </c>
      <c r="I492" s="294" t="str">
        <f ca="1">IF(ISERROR($S492),"",OFFSET('Smelter Reference List'!$H$4,$S492-4,0))</f>
        <v/>
      </c>
      <c r="J492" s="294" t="str">
        <f ca="1">IF(ISERROR($S492),"",OFFSET('Smelter Reference List'!$I$4,$S492-4,0))</f>
        <v/>
      </c>
      <c r="K492" s="295"/>
      <c r="L492" s="295"/>
      <c r="M492" s="295"/>
      <c r="N492" s="295"/>
      <c r="O492" s="295"/>
      <c r="P492" s="295"/>
      <c r="Q492" s="296"/>
      <c r="R492" s="227"/>
      <c r="S492" s="228" t="e">
        <f>IF(C492="",NA(),MATCH($B492&amp;$C492,'Smelter Reference List'!$J:$J,0))</f>
        <v>#N/A</v>
      </c>
      <c r="T492" s="229"/>
      <c r="U492" s="229">
        <f t="shared" ca="1" si="16"/>
        <v>0</v>
      </c>
      <c r="V492" s="229"/>
      <c r="W492" s="229"/>
      <c r="Y492" s="223" t="str">
        <f t="shared" si="17"/>
        <v/>
      </c>
    </row>
    <row r="493" spans="1:25" s="223" customFormat="1" ht="20.25">
      <c r="A493" s="291"/>
      <c r="B493" s="292" t="str">
        <f>IF(LEN(A493)=0,"",INDEX('Smelter Reference List'!$A:$A,MATCH($A493,'Smelter Reference List'!$E:$E,0)))</f>
        <v/>
      </c>
      <c r="C493" s="298" t="str">
        <f>IF(LEN(A493)=0,"",INDEX('Smelter Reference List'!$C:$C,MATCH($A493,'Smelter Reference List'!$E:$E,0)))</f>
        <v/>
      </c>
      <c r="D493" s="292" t="str">
        <f ca="1">IF(ISERROR($S493),"",OFFSET('Smelter Reference List'!$C$4,$S493-4,0)&amp;"")</f>
        <v/>
      </c>
      <c r="E493" s="292" t="str">
        <f ca="1">IF(ISERROR($S493),"",OFFSET('Smelter Reference List'!$D$4,$S493-4,0)&amp;"")</f>
        <v/>
      </c>
      <c r="F493" s="292" t="str">
        <f ca="1">IF(ISERROR($S493),"",OFFSET('Smelter Reference List'!$E$4,$S493-4,0))</f>
        <v/>
      </c>
      <c r="G493" s="292" t="str">
        <f ca="1">IF(C493=$U$4,"Enter smelter details", IF(ISERROR($S493),"",OFFSET('Smelter Reference List'!$F$4,$S493-4,0)))</f>
        <v/>
      </c>
      <c r="H493" s="293" t="str">
        <f ca="1">IF(ISERROR($S493),"",OFFSET('Smelter Reference List'!$G$4,$S493-4,0))</f>
        <v/>
      </c>
      <c r="I493" s="294" t="str">
        <f ca="1">IF(ISERROR($S493),"",OFFSET('Smelter Reference List'!$H$4,$S493-4,0))</f>
        <v/>
      </c>
      <c r="J493" s="294" t="str">
        <f ca="1">IF(ISERROR($S493),"",OFFSET('Smelter Reference List'!$I$4,$S493-4,0))</f>
        <v/>
      </c>
      <c r="K493" s="295"/>
      <c r="L493" s="295"/>
      <c r="M493" s="295"/>
      <c r="N493" s="295"/>
      <c r="O493" s="295"/>
      <c r="P493" s="295"/>
      <c r="Q493" s="296"/>
      <c r="R493" s="227"/>
      <c r="S493" s="228" t="e">
        <f>IF(C493="",NA(),MATCH($B493&amp;$C493,'Smelter Reference List'!$J:$J,0))</f>
        <v>#N/A</v>
      </c>
      <c r="T493" s="229"/>
      <c r="U493" s="229">
        <f t="shared" ca="1" si="16"/>
        <v>0</v>
      </c>
      <c r="V493" s="229"/>
      <c r="W493" s="229"/>
      <c r="Y493" s="223" t="str">
        <f t="shared" si="17"/>
        <v/>
      </c>
    </row>
    <row r="494" spans="1:25" s="223" customFormat="1" ht="20.25">
      <c r="A494" s="291"/>
      <c r="B494" s="292" t="str">
        <f>IF(LEN(A494)=0,"",INDEX('Smelter Reference List'!$A:$A,MATCH($A494,'Smelter Reference List'!$E:$E,0)))</f>
        <v/>
      </c>
      <c r="C494" s="298" t="str">
        <f>IF(LEN(A494)=0,"",INDEX('Smelter Reference List'!$C:$C,MATCH($A494,'Smelter Reference List'!$E:$E,0)))</f>
        <v/>
      </c>
      <c r="D494" s="292" t="str">
        <f ca="1">IF(ISERROR($S494),"",OFFSET('Smelter Reference List'!$C$4,$S494-4,0)&amp;"")</f>
        <v/>
      </c>
      <c r="E494" s="292" t="str">
        <f ca="1">IF(ISERROR($S494),"",OFFSET('Smelter Reference List'!$D$4,$S494-4,0)&amp;"")</f>
        <v/>
      </c>
      <c r="F494" s="292" t="str">
        <f ca="1">IF(ISERROR($S494),"",OFFSET('Smelter Reference List'!$E$4,$S494-4,0))</f>
        <v/>
      </c>
      <c r="G494" s="292" t="str">
        <f ca="1">IF(C494=$U$4,"Enter smelter details", IF(ISERROR($S494),"",OFFSET('Smelter Reference List'!$F$4,$S494-4,0)))</f>
        <v/>
      </c>
      <c r="H494" s="293" t="str">
        <f ca="1">IF(ISERROR($S494),"",OFFSET('Smelter Reference List'!$G$4,$S494-4,0))</f>
        <v/>
      </c>
      <c r="I494" s="294" t="str">
        <f ca="1">IF(ISERROR($S494),"",OFFSET('Smelter Reference List'!$H$4,$S494-4,0))</f>
        <v/>
      </c>
      <c r="J494" s="294" t="str">
        <f ca="1">IF(ISERROR($S494),"",OFFSET('Smelter Reference List'!$I$4,$S494-4,0))</f>
        <v/>
      </c>
      <c r="K494" s="295"/>
      <c r="L494" s="295"/>
      <c r="M494" s="295"/>
      <c r="N494" s="295"/>
      <c r="O494" s="295"/>
      <c r="P494" s="295"/>
      <c r="Q494" s="296"/>
      <c r="R494" s="227"/>
      <c r="S494" s="228" t="e">
        <f>IF(C494="",NA(),MATCH($B494&amp;$C494,'Smelter Reference List'!$J:$J,0))</f>
        <v>#N/A</v>
      </c>
      <c r="T494" s="229"/>
      <c r="U494" s="229">
        <f t="shared" ca="1" si="16"/>
        <v>0</v>
      </c>
      <c r="V494" s="229"/>
      <c r="W494" s="229"/>
      <c r="Y494" s="223" t="str">
        <f t="shared" si="17"/>
        <v/>
      </c>
    </row>
    <row r="495" spans="1:25" s="223" customFormat="1" ht="20.25">
      <c r="A495" s="291"/>
      <c r="B495" s="292" t="str">
        <f>IF(LEN(A495)=0,"",INDEX('Smelter Reference List'!$A:$A,MATCH($A495,'Smelter Reference List'!$E:$E,0)))</f>
        <v/>
      </c>
      <c r="C495" s="298" t="str">
        <f>IF(LEN(A495)=0,"",INDEX('Smelter Reference List'!$C:$C,MATCH($A495,'Smelter Reference List'!$E:$E,0)))</f>
        <v/>
      </c>
      <c r="D495" s="292" t="str">
        <f ca="1">IF(ISERROR($S495),"",OFFSET('Smelter Reference List'!$C$4,$S495-4,0)&amp;"")</f>
        <v/>
      </c>
      <c r="E495" s="292" t="str">
        <f ca="1">IF(ISERROR($S495),"",OFFSET('Smelter Reference List'!$D$4,$S495-4,0)&amp;"")</f>
        <v/>
      </c>
      <c r="F495" s="292" t="str">
        <f ca="1">IF(ISERROR($S495),"",OFFSET('Smelter Reference List'!$E$4,$S495-4,0))</f>
        <v/>
      </c>
      <c r="G495" s="292" t="str">
        <f ca="1">IF(C495=$U$4,"Enter smelter details", IF(ISERROR($S495),"",OFFSET('Smelter Reference List'!$F$4,$S495-4,0)))</f>
        <v/>
      </c>
      <c r="H495" s="293" t="str">
        <f ca="1">IF(ISERROR($S495),"",OFFSET('Smelter Reference List'!$G$4,$S495-4,0))</f>
        <v/>
      </c>
      <c r="I495" s="294" t="str">
        <f ca="1">IF(ISERROR($S495),"",OFFSET('Smelter Reference List'!$H$4,$S495-4,0))</f>
        <v/>
      </c>
      <c r="J495" s="294" t="str">
        <f ca="1">IF(ISERROR($S495),"",OFFSET('Smelter Reference List'!$I$4,$S495-4,0))</f>
        <v/>
      </c>
      <c r="K495" s="295"/>
      <c r="L495" s="295"/>
      <c r="M495" s="295"/>
      <c r="N495" s="295"/>
      <c r="O495" s="295"/>
      <c r="P495" s="295"/>
      <c r="Q495" s="296"/>
      <c r="R495" s="227"/>
      <c r="S495" s="228" t="e">
        <f>IF(C495="",NA(),MATCH($B495&amp;$C495,'Smelter Reference List'!$J:$J,0))</f>
        <v>#N/A</v>
      </c>
      <c r="T495" s="229"/>
      <c r="U495" s="229">
        <f t="shared" ca="1" si="16"/>
        <v>0</v>
      </c>
      <c r="V495" s="229"/>
      <c r="W495" s="229"/>
      <c r="Y495" s="223" t="str">
        <f t="shared" si="17"/>
        <v/>
      </c>
    </row>
    <row r="496" spans="1:25" s="223" customFormat="1" ht="20.25">
      <c r="A496" s="291"/>
      <c r="B496" s="292" t="str">
        <f>IF(LEN(A496)=0,"",INDEX('Smelter Reference List'!$A:$A,MATCH($A496,'Smelter Reference List'!$E:$E,0)))</f>
        <v/>
      </c>
      <c r="C496" s="298" t="str">
        <f>IF(LEN(A496)=0,"",INDEX('Smelter Reference List'!$C:$C,MATCH($A496,'Smelter Reference List'!$E:$E,0)))</f>
        <v/>
      </c>
      <c r="D496" s="292" t="str">
        <f ca="1">IF(ISERROR($S496),"",OFFSET('Smelter Reference List'!$C$4,$S496-4,0)&amp;"")</f>
        <v/>
      </c>
      <c r="E496" s="292" t="str">
        <f ca="1">IF(ISERROR($S496),"",OFFSET('Smelter Reference List'!$D$4,$S496-4,0)&amp;"")</f>
        <v/>
      </c>
      <c r="F496" s="292" t="str">
        <f ca="1">IF(ISERROR($S496),"",OFFSET('Smelter Reference List'!$E$4,$S496-4,0))</f>
        <v/>
      </c>
      <c r="G496" s="292" t="str">
        <f ca="1">IF(C496=$U$4,"Enter smelter details", IF(ISERROR($S496),"",OFFSET('Smelter Reference List'!$F$4,$S496-4,0)))</f>
        <v/>
      </c>
      <c r="H496" s="293" t="str">
        <f ca="1">IF(ISERROR($S496),"",OFFSET('Smelter Reference List'!$G$4,$S496-4,0))</f>
        <v/>
      </c>
      <c r="I496" s="294" t="str">
        <f ca="1">IF(ISERROR($S496),"",OFFSET('Smelter Reference List'!$H$4,$S496-4,0))</f>
        <v/>
      </c>
      <c r="J496" s="294" t="str">
        <f ca="1">IF(ISERROR($S496),"",OFFSET('Smelter Reference List'!$I$4,$S496-4,0))</f>
        <v/>
      </c>
      <c r="K496" s="295"/>
      <c r="L496" s="295"/>
      <c r="M496" s="295"/>
      <c r="N496" s="295"/>
      <c r="O496" s="295"/>
      <c r="P496" s="295"/>
      <c r="Q496" s="296"/>
      <c r="R496" s="227"/>
      <c r="S496" s="228" t="e">
        <f>IF(C496="",NA(),MATCH($B496&amp;$C496,'Smelter Reference List'!$J:$J,0))</f>
        <v>#N/A</v>
      </c>
      <c r="T496" s="229"/>
      <c r="U496" s="229">
        <f t="shared" ca="1" si="16"/>
        <v>0</v>
      </c>
      <c r="V496" s="229"/>
      <c r="W496" s="229"/>
      <c r="Y496" s="223" t="str">
        <f t="shared" si="17"/>
        <v/>
      </c>
    </row>
    <row r="497" spans="1:25" s="223" customFormat="1" ht="20.25">
      <c r="A497" s="291"/>
      <c r="B497" s="292" t="str">
        <f>IF(LEN(A497)=0,"",INDEX('Smelter Reference List'!$A:$A,MATCH($A497,'Smelter Reference List'!$E:$E,0)))</f>
        <v/>
      </c>
      <c r="C497" s="298" t="str">
        <f>IF(LEN(A497)=0,"",INDEX('Smelter Reference List'!$C:$C,MATCH($A497,'Smelter Reference List'!$E:$E,0)))</f>
        <v/>
      </c>
      <c r="D497" s="292" t="str">
        <f ca="1">IF(ISERROR($S497),"",OFFSET('Smelter Reference List'!$C$4,$S497-4,0)&amp;"")</f>
        <v/>
      </c>
      <c r="E497" s="292" t="str">
        <f ca="1">IF(ISERROR($S497),"",OFFSET('Smelter Reference List'!$D$4,$S497-4,0)&amp;"")</f>
        <v/>
      </c>
      <c r="F497" s="292" t="str">
        <f ca="1">IF(ISERROR($S497),"",OFFSET('Smelter Reference List'!$E$4,$S497-4,0))</f>
        <v/>
      </c>
      <c r="G497" s="292" t="str">
        <f ca="1">IF(C497=$U$4,"Enter smelter details", IF(ISERROR($S497),"",OFFSET('Smelter Reference List'!$F$4,$S497-4,0)))</f>
        <v/>
      </c>
      <c r="H497" s="293" t="str">
        <f ca="1">IF(ISERROR($S497),"",OFFSET('Smelter Reference List'!$G$4,$S497-4,0))</f>
        <v/>
      </c>
      <c r="I497" s="294" t="str">
        <f ca="1">IF(ISERROR($S497),"",OFFSET('Smelter Reference List'!$H$4,$S497-4,0))</f>
        <v/>
      </c>
      <c r="J497" s="294" t="str">
        <f ca="1">IF(ISERROR($S497),"",OFFSET('Smelter Reference List'!$I$4,$S497-4,0))</f>
        <v/>
      </c>
      <c r="K497" s="295"/>
      <c r="L497" s="295"/>
      <c r="M497" s="295"/>
      <c r="N497" s="295"/>
      <c r="O497" s="295"/>
      <c r="P497" s="295"/>
      <c r="Q497" s="296"/>
      <c r="R497" s="227"/>
      <c r="S497" s="228" t="e">
        <f>IF(C497="",NA(),MATCH($B497&amp;$C497,'Smelter Reference List'!$J:$J,0))</f>
        <v>#N/A</v>
      </c>
      <c r="T497" s="229"/>
      <c r="U497" s="229">
        <f t="shared" ca="1" si="16"/>
        <v>0</v>
      </c>
      <c r="V497" s="229"/>
      <c r="W497" s="229"/>
      <c r="Y497" s="223" t="str">
        <f t="shared" si="17"/>
        <v/>
      </c>
    </row>
    <row r="498" spans="1:25" s="223" customFormat="1" ht="20.25">
      <c r="A498" s="291"/>
      <c r="B498" s="292" t="str">
        <f>IF(LEN(A498)=0,"",INDEX('Smelter Reference List'!$A:$A,MATCH($A498,'Smelter Reference List'!$E:$E,0)))</f>
        <v/>
      </c>
      <c r="C498" s="298" t="str">
        <f>IF(LEN(A498)=0,"",INDEX('Smelter Reference List'!$C:$C,MATCH($A498,'Smelter Reference List'!$E:$E,0)))</f>
        <v/>
      </c>
      <c r="D498" s="292" t="str">
        <f ca="1">IF(ISERROR($S498),"",OFFSET('Smelter Reference List'!$C$4,$S498-4,0)&amp;"")</f>
        <v/>
      </c>
      <c r="E498" s="292" t="str">
        <f ca="1">IF(ISERROR($S498),"",OFFSET('Smelter Reference List'!$D$4,$S498-4,0)&amp;"")</f>
        <v/>
      </c>
      <c r="F498" s="292" t="str">
        <f ca="1">IF(ISERROR($S498),"",OFFSET('Smelter Reference List'!$E$4,$S498-4,0))</f>
        <v/>
      </c>
      <c r="G498" s="292" t="str">
        <f ca="1">IF(C498=$U$4,"Enter smelter details", IF(ISERROR($S498),"",OFFSET('Smelter Reference List'!$F$4,$S498-4,0)))</f>
        <v/>
      </c>
      <c r="H498" s="293" t="str">
        <f ca="1">IF(ISERROR($S498),"",OFFSET('Smelter Reference List'!$G$4,$S498-4,0))</f>
        <v/>
      </c>
      <c r="I498" s="294" t="str">
        <f ca="1">IF(ISERROR($S498),"",OFFSET('Smelter Reference List'!$H$4,$S498-4,0))</f>
        <v/>
      </c>
      <c r="J498" s="294" t="str">
        <f ca="1">IF(ISERROR($S498),"",OFFSET('Smelter Reference List'!$I$4,$S498-4,0))</f>
        <v/>
      </c>
      <c r="K498" s="295"/>
      <c r="L498" s="295"/>
      <c r="M498" s="295"/>
      <c r="N498" s="295"/>
      <c r="O498" s="295"/>
      <c r="P498" s="295"/>
      <c r="Q498" s="296"/>
      <c r="R498" s="227"/>
      <c r="S498" s="228" t="e">
        <f>IF(C498="",NA(),MATCH($B498&amp;$C498,'Smelter Reference List'!$J:$J,0))</f>
        <v>#N/A</v>
      </c>
      <c r="T498" s="229"/>
      <c r="U498" s="229">
        <f t="shared" ca="1" si="16"/>
        <v>0</v>
      </c>
      <c r="V498" s="229"/>
      <c r="W498" s="229"/>
      <c r="Y498" s="223" t="str">
        <f t="shared" si="17"/>
        <v/>
      </c>
    </row>
    <row r="499" spans="1:25" s="223" customFormat="1" ht="20.25">
      <c r="A499" s="291"/>
      <c r="B499" s="292" t="str">
        <f>IF(LEN(A499)=0,"",INDEX('Smelter Reference List'!$A:$A,MATCH($A499,'Smelter Reference List'!$E:$E,0)))</f>
        <v/>
      </c>
      <c r="C499" s="298" t="str">
        <f>IF(LEN(A499)=0,"",INDEX('Smelter Reference List'!$C:$C,MATCH($A499,'Smelter Reference List'!$E:$E,0)))</f>
        <v/>
      </c>
      <c r="D499" s="292" t="str">
        <f ca="1">IF(ISERROR($S499),"",OFFSET('Smelter Reference List'!$C$4,$S499-4,0)&amp;"")</f>
        <v/>
      </c>
      <c r="E499" s="292" t="str">
        <f ca="1">IF(ISERROR($S499),"",OFFSET('Smelter Reference List'!$D$4,$S499-4,0)&amp;"")</f>
        <v/>
      </c>
      <c r="F499" s="292" t="str">
        <f ca="1">IF(ISERROR($S499),"",OFFSET('Smelter Reference List'!$E$4,$S499-4,0))</f>
        <v/>
      </c>
      <c r="G499" s="292" t="str">
        <f ca="1">IF(C499=$U$4,"Enter smelter details", IF(ISERROR($S499),"",OFFSET('Smelter Reference List'!$F$4,$S499-4,0)))</f>
        <v/>
      </c>
      <c r="H499" s="293" t="str">
        <f ca="1">IF(ISERROR($S499),"",OFFSET('Smelter Reference List'!$G$4,$S499-4,0))</f>
        <v/>
      </c>
      <c r="I499" s="294" t="str">
        <f ca="1">IF(ISERROR($S499),"",OFFSET('Smelter Reference List'!$H$4,$S499-4,0))</f>
        <v/>
      </c>
      <c r="J499" s="294" t="str">
        <f ca="1">IF(ISERROR($S499),"",OFFSET('Smelter Reference List'!$I$4,$S499-4,0))</f>
        <v/>
      </c>
      <c r="K499" s="295"/>
      <c r="L499" s="295"/>
      <c r="M499" s="295"/>
      <c r="N499" s="295"/>
      <c r="O499" s="295"/>
      <c r="P499" s="295"/>
      <c r="Q499" s="296"/>
      <c r="R499" s="227"/>
      <c r="S499" s="228" t="e">
        <f>IF(C499="",NA(),MATCH($B499&amp;$C499,'Smelter Reference List'!$J:$J,0))</f>
        <v>#N/A</v>
      </c>
      <c r="T499" s="229"/>
      <c r="U499" s="229">
        <f t="shared" ca="1" si="16"/>
        <v>0</v>
      </c>
      <c r="V499" s="229"/>
      <c r="W499" s="229"/>
      <c r="Y499" s="223" t="str">
        <f t="shared" si="17"/>
        <v/>
      </c>
    </row>
    <row r="500" spans="1:25" s="223" customFormat="1" ht="20.25">
      <c r="A500" s="291"/>
      <c r="B500" s="292" t="str">
        <f>IF(LEN(A500)=0,"",INDEX('Smelter Reference List'!$A:$A,MATCH($A500,'Smelter Reference List'!$E:$E,0)))</f>
        <v/>
      </c>
      <c r="C500" s="298" t="str">
        <f>IF(LEN(A500)=0,"",INDEX('Smelter Reference List'!$C:$C,MATCH($A500,'Smelter Reference List'!$E:$E,0)))</f>
        <v/>
      </c>
      <c r="D500" s="292" t="str">
        <f ca="1">IF(ISERROR($S500),"",OFFSET('Smelter Reference List'!$C$4,$S500-4,0)&amp;"")</f>
        <v/>
      </c>
      <c r="E500" s="292" t="str">
        <f ca="1">IF(ISERROR($S500),"",OFFSET('Smelter Reference List'!$D$4,$S500-4,0)&amp;"")</f>
        <v/>
      </c>
      <c r="F500" s="292" t="str">
        <f ca="1">IF(ISERROR($S500),"",OFFSET('Smelter Reference List'!$E$4,$S500-4,0))</f>
        <v/>
      </c>
      <c r="G500" s="292" t="str">
        <f ca="1">IF(C500=$U$4,"Enter smelter details", IF(ISERROR($S500),"",OFFSET('Smelter Reference List'!$F$4,$S500-4,0)))</f>
        <v/>
      </c>
      <c r="H500" s="293" t="str">
        <f ca="1">IF(ISERROR($S500),"",OFFSET('Smelter Reference List'!$G$4,$S500-4,0))</f>
        <v/>
      </c>
      <c r="I500" s="294" t="str">
        <f ca="1">IF(ISERROR($S500),"",OFFSET('Smelter Reference List'!$H$4,$S500-4,0))</f>
        <v/>
      </c>
      <c r="J500" s="294" t="str">
        <f ca="1">IF(ISERROR($S500),"",OFFSET('Smelter Reference List'!$I$4,$S500-4,0))</f>
        <v/>
      </c>
      <c r="K500" s="295"/>
      <c r="L500" s="295"/>
      <c r="M500" s="295"/>
      <c r="N500" s="295"/>
      <c r="O500" s="295"/>
      <c r="P500" s="295"/>
      <c r="Q500" s="296"/>
      <c r="R500" s="227"/>
      <c r="S500" s="228" t="e">
        <f>IF(C500="",NA(),MATCH($B500&amp;$C500,'Smelter Reference List'!$J:$J,0))</f>
        <v>#N/A</v>
      </c>
      <c r="T500" s="229"/>
      <c r="U500" s="229">
        <f t="shared" ca="1" si="16"/>
        <v>0</v>
      </c>
      <c r="V500" s="229"/>
      <c r="W500" s="229"/>
      <c r="Y500" s="223" t="str">
        <f t="shared" si="17"/>
        <v/>
      </c>
    </row>
    <row r="501" spans="1:25" s="223" customFormat="1" ht="20.25">
      <c r="A501" s="291"/>
      <c r="B501" s="292" t="str">
        <f>IF(LEN(A501)=0,"",INDEX('Smelter Reference List'!$A:$A,MATCH($A501,'Smelter Reference List'!$E:$E,0)))</f>
        <v/>
      </c>
      <c r="C501" s="298" t="str">
        <f>IF(LEN(A501)=0,"",INDEX('Smelter Reference List'!$C:$C,MATCH($A501,'Smelter Reference List'!$E:$E,0)))</f>
        <v/>
      </c>
      <c r="D501" s="292" t="str">
        <f ca="1">IF(ISERROR($S501),"",OFFSET('Smelter Reference List'!$C$4,$S501-4,0)&amp;"")</f>
        <v/>
      </c>
      <c r="E501" s="292" t="str">
        <f ca="1">IF(ISERROR($S501),"",OFFSET('Smelter Reference List'!$D$4,$S501-4,0)&amp;"")</f>
        <v/>
      </c>
      <c r="F501" s="292" t="str">
        <f ca="1">IF(ISERROR($S501),"",OFFSET('Smelter Reference List'!$E$4,$S501-4,0))</f>
        <v/>
      </c>
      <c r="G501" s="292" t="str">
        <f ca="1">IF(C501=$U$4,"Enter smelter details", IF(ISERROR($S501),"",OFFSET('Smelter Reference List'!$F$4,$S501-4,0)))</f>
        <v/>
      </c>
      <c r="H501" s="293" t="str">
        <f ca="1">IF(ISERROR($S501),"",OFFSET('Smelter Reference List'!$G$4,$S501-4,0))</f>
        <v/>
      </c>
      <c r="I501" s="294" t="str">
        <f ca="1">IF(ISERROR($S501),"",OFFSET('Smelter Reference List'!$H$4,$S501-4,0))</f>
        <v/>
      </c>
      <c r="J501" s="294" t="str">
        <f ca="1">IF(ISERROR($S501),"",OFFSET('Smelter Reference List'!$I$4,$S501-4,0))</f>
        <v/>
      </c>
      <c r="K501" s="295"/>
      <c r="L501" s="295"/>
      <c r="M501" s="295"/>
      <c r="N501" s="295"/>
      <c r="O501" s="295"/>
      <c r="P501" s="295"/>
      <c r="Q501" s="296"/>
      <c r="R501" s="227"/>
      <c r="S501" s="228" t="e">
        <f>IF(C501="",NA(),MATCH($B501&amp;$C501,'Smelter Reference List'!$J:$J,0))</f>
        <v>#N/A</v>
      </c>
      <c r="T501" s="229"/>
      <c r="U501" s="229">
        <f t="shared" ca="1" si="16"/>
        <v>0</v>
      </c>
      <c r="V501" s="229"/>
      <c r="W501" s="229"/>
      <c r="Y501" s="223" t="str">
        <f t="shared" si="17"/>
        <v/>
      </c>
    </row>
    <row r="502" spans="1:25" s="223" customFormat="1" ht="20.25">
      <c r="A502" s="291"/>
      <c r="B502" s="292" t="str">
        <f>IF(LEN(A502)=0,"",INDEX('Smelter Reference List'!$A:$A,MATCH($A502,'Smelter Reference List'!$E:$E,0)))</f>
        <v/>
      </c>
      <c r="C502" s="298" t="str">
        <f>IF(LEN(A502)=0,"",INDEX('Smelter Reference List'!$C:$C,MATCH($A502,'Smelter Reference List'!$E:$E,0)))</f>
        <v/>
      </c>
      <c r="D502" s="292" t="str">
        <f ca="1">IF(ISERROR($S502),"",OFFSET('Smelter Reference List'!$C$4,$S502-4,0)&amp;"")</f>
        <v/>
      </c>
      <c r="E502" s="292" t="str">
        <f ca="1">IF(ISERROR($S502),"",OFFSET('Smelter Reference List'!$D$4,$S502-4,0)&amp;"")</f>
        <v/>
      </c>
      <c r="F502" s="292" t="str">
        <f ca="1">IF(ISERROR($S502),"",OFFSET('Smelter Reference List'!$E$4,$S502-4,0))</f>
        <v/>
      </c>
      <c r="G502" s="292" t="str">
        <f ca="1">IF(C502=$U$4,"Enter smelter details", IF(ISERROR($S502),"",OFFSET('Smelter Reference List'!$F$4,$S502-4,0)))</f>
        <v/>
      </c>
      <c r="H502" s="293" t="str">
        <f ca="1">IF(ISERROR($S502),"",OFFSET('Smelter Reference List'!$G$4,$S502-4,0))</f>
        <v/>
      </c>
      <c r="I502" s="294" t="str">
        <f ca="1">IF(ISERROR($S502),"",OFFSET('Smelter Reference List'!$H$4,$S502-4,0))</f>
        <v/>
      </c>
      <c r="J502" s="294" t="str">
        <f ca="1">IF(ISERROR($S502),"",OFFSET('Smelter Reference List'!$I$4,$S502-4,0))</f>
        <v/>
      </c>
      <c r="K502" s="295"/>
      <c r="L502" s="295"/>
      <c r="M502" s="295"/>
      <c r="N502" s="295"/>
      <c r="O502" s="295"/>
      <c r="P502" s="295"/>
      <c r="Q502" s="296"/>
      <c r="R502" s="227"/>
      <c r="S502" s="228" t="e">
        <f>IF(C502="",NA(),MATCH($B502&amp;$C502,'Smelter Reference List'!$J:$J,0))</f>
        <v>#N/A</v>
      </c>
      <c r="T502" s="229"/>
      <c r="U502" s="229">
        <f t="shared" ca="1" si="16"/>
        <v>0</v>
      </c>
      <c r="V502" s="229"/>
      <c r="W502" s="229"/>
      <c r="Y502" s="223" t="str">
        <f t="shared" si="17"/>
        <v/>
      </c>
    </row>
    <row r="503" spans="1:25" s="223" customFormat="1" ht="20.25">
      <c r="A503" s="291"/>
      <c r="B503" s="292" t="str">
        <f>IF(LEN(A503)=0,"",INDEX('Smelter Reference List'!$A:$A,MATCH($A503,'Smelter Reference List'!$E:$E,0)))</f>
        <v/>
      </c>
      <c r="C503" s="298" t="str">
        <f>IF(LEN(A503)=0,"",INDEX('Smelter Reference List'!$C:$C,MATCH($A503,'Smelter Reference List'!$E:$E,0)))</f>
        <v/>
      </c>
      <c r="D503" s="292" t="str">
        <f ca="1">IF(ISERROR($S503),"",OFFSET('Smelter Reference List'!$C$4,$S503-4,0)&amp;"")</f>
        <v/>
      </c>
      <c r="E503" s="292" t="str">
        <f ca="1">IF(ISERROR($S503),"",OFFSET('Smelter Reference List'!$D$4,$S503-4,0)&amp;"")</f>
        <v/>
      </c>
      <c r="F503" s="292" t="str">
        <f ca="1">IF(ISERROR($S503),"",OFFSET('Smelter Reference List'!$E$4,$S503-4,0))</f>
        <v/>
      </c>
      <c r="G503" s="292" t="str">
        <f ca="1">IF(C503=$U$4,"Enter smelter details", IF(ISERROR($S503),"",OFFSET('Smelter Reference List'!$F$4,$S503-4,0)))</f>
        <v/>
      </c>
      <c r="H503" s="293" t="str">
        <f ca="1">IF(ISERROR($S503),"",OFFSET('Smelter Reference List'!$G$4,$S503-4,0))</f>
        <v/>
      </c>
      <c r="I503" s="294" t="str">
        <f ca="1">IF(ISERROR($S503),"",OFFSET('Smelter Reference List'!$H$4,$S503-4,0))</f>
        <v/>
      </c>
      <c r="J503" s="294" t="str">
        <f ca="1">IF(ISERROR($S503),"",OFFSET('Smelter Reference List'!$I$4,$S503-4,0))</f>
        <v/>
      </c>
      <c r="K503" s="295"/>
      <c r="L503" s="295"/>
      <c r="M503" s="295"/>
      <c r="N503" s="295"/>
      <c r="O503" s="295"/>
      <c r="P503" s="295"/>
      <c r="Q503" s="296"/>
      <c r="R503" s="227"/>
      <c r="S503" s="228" t="e">
        <f>IF(C503="",NA(),MATCH($B503&amp;$C503,'Smelter Reference List'!$J:$J,0))</f>
        <v>#N/A</v>
      </c>
      <c r="T503" s="229"/>
      <c r="U503" s="229">
        <f t="shared" ca="1" si="16"/>
        <v>0</v>
      </c>
      <c r="V503" s="229"/>
      <c r="W503" s="229"/>
      <c r="Y503" s="223" t="str">
        <f t="shared" si="17"/>
        <v/>
      </c>
    </row>
    <row r="504" spans="1:25" s="223" customFormat="1" ht="20.25">
      <c r="A504" s="291"/>
      <c r="B504" s="292" t="str">
        <f>IF(LEN(A504)=0,"",INDEX('Smelter Reference List'!$A:$A,MATCH($A504,'Smelter Reference List'!$E:$E,0)))</f>
        <v/>
      </c>
      <c r="C504" s="298" t="str">
        <f>IF(LEN(A504)=0,"",INDEX('Smelter Reference List'!$C:$C,MATCH($A504,'Smelter Reference List'!$E:$E,0)))</f>
        <v/>
      </c>
      <c r="D504" s="292" t="str">
        <f ca="1">IF(ISERROR($S504),"",OFFSET('Smelter Reference List'!$C$4,$S504-4,0)&amp;"")</f>
        <v/>
      </c>
      <c r="E504" s="292" t="str">
        <f ca="1">IF(ISERROR($S504),"",OFFSET('Smelter Reference List'!$D$4,$S504-4,0)&amp;"")</f>
        <v/>
      </c>
      <c r="F504" s="292" t="str">
        <f ca="1">IF(ISERROR($S504),"",OFFSET('Smelter Reference List'!$E$4,$S504-4,0))</f>
        <v/>
      </c>
      <c r="G504" s="292" t="str">
        <f ca="1">IF(C504=$U$4,"Enter smelter details", IF(ISERROR($S504),"",OFFSET('Smelter Reference List'!$F$4,$S504-4,0)))</f>
        <v/>
      </c>
      <c r="H504" s="293" t="str">
        <f ca="1">IF(ISERROR($S504),"",OFFSET('Smelter Reference List'!$G$4,$S504-4,0))</f>
        <v/>
      </c>
      <c r="I504" s="294" t="str">
        <f ca="1">IF(ISERROR($S504),"",OFFSET('Smelter Reference List'!$H$4,$S504-4,0))</f>
        <v/>
      </c>
      <c r="J504" s="294" t="str">
        <f ca="1">IF(ISERROR($S504),"",OFFSET('Smelter Reference List'!$I$4,$S504-4,0))</f>
        <v/>
      </c>
      <c r="K504" s="295"/>
      <c r="L504" s="295"/>
      <c r="M504" s="295"/>
      <c r="N504" s="295"/>
      <c r="O504" s="295"/>
      <c r="P504" s="295"/>
      <c r="Q504" s="296"/>
      <c r="R504" s="227"/>
      <c r="S504" s="228" t="e">
        <f>IF(C504="",NA(),MATCH($B504&amp;$C504,'Smelter Reference List'!$J:$J,0))</f>
        <v>#N/A</v>
      </c>
      <c r="T504" s="229"/>
      <c r="U504" s="229">
        <f t="shared" ca="1" si="16"/>
        <v>0</v>
      </c>
      <c r="V504" s="229"/>
      <c r="W504" s="229"/>
      <c r="Y504" s="223" t="str">
        <f t="shared" si="17"/>
        <v/>
      </c>
    </row>
    <row r="505" spans="1:25" s="223" customFormat="1" ht="20.25">
      <c r="A505" s="291"/>
      <c r="B505" s="292" t="str">
        <f>IF(LEN(A505)=0,"",INDEX('Smelter Reference List'!$A:$A,MATCH($A505,'Smelter Reference List'!$E:$E,0)))</f>
        <v/>
      </c>
      <c r="C505" s="298" t="str">
        <f>IF(LEN(A505)=0,"",INDEX('Smelter Reference List'!$C:$C,MATCH($A505,'Smelter Reference List'!$E:$E,0)))</f>
        <v/>
      </c>
      <c r="D505" s="292" t="str">
        <f ca="1">IF(ISERROR($S505),"",OFFSET('Smelter Reference List'!$C$4,$S505-4,0)&amp;"")</f>
        <v/>
      </c>
      <c r="E505" s="292" t="str">
        <f ca="1">IF(ISERROR($S505),"",OFFSET('Smelter Reference List'!$D$4,$S505-4,0)&amp;"")</f>
        <v/>
      </c>
      <c r="F505" s="292" t="str">
        <f ca="1">IF(ISERROR($S505),"",OFFSET('Smelter Reference List'!$E$4,$S505-4,0))</f>
        <v/>
      </c>
      <c r="G505" s="292" t="str">
        <f ca="1">IF(C505=$U$4,"Enter smelter details", IF(ISERROR($S505),"",OFFSET('Smelter Reference List'!$F$4,$S505-4,0)))</f>
        <v/>
      </c>
      <c r="H505" s="293" t="str">
        <f ca="1">IF(ISERROR($S505),"",OFFSET('Smelter Reference List'!$G$4,$S505-4,0))</f>
        <v/>
      </c>
      <c r="I505" s="294" t="str">
        <f ca="1">IF(ISERROR($S505),"",OFFSET('Smelter Reference List'!$H$4,$S505-4,0))</f>
        <v/>
      </c>
      <c r="J505" s="294" t="str">
        <f ca="1">IF(ISERROR($S505),"",OFFSET('Smelter Reference List'!$I$4,$S505-4,0))</f>
        <v/>
      </c>
      <c r="K505" s="295"/>
      <c r="L505" s="295"/>
      <c r="M505" s="295"/>
      <c r="N505" s="295"/>
      <c r="O505" s="295"/>
      <c r="P505" s="295"/>
      <c r="Q505" s="296"/>
      <c r="R505" s="227"/>
      <c r="S505" s="228" t="e">
        <f>IF(C505="",NA(),MATCH($B505&amp;$C505,'Smelter Reference List'!$J:$J,0))</f>
        <v>#N/A</v>
      </c>
      <c r="T505" s="229"/>
      <c r="U505" s="229">
        <f t="shared" ca="1" si="16"/>
        <v>0</v>
      </c>
      <c r="V505" s="229"/>
      <c r="W505" s="229"/>
      <c r="Y505" s="223" t="str">
        <f t="shared" si="17"/>
        <v/>
      </c>
    </row>
    <row r="506" spans="1:25" s="223" customFormat="1" ht="20.25">
      <c r="A506" s="291"/>
      <c r="B506" s="292" t="str">
        <f>IF(LEN(A506)=0,"",INDEX('Smelter Reference List'!$A:$A,MATCH($A506,'Smelter Reference List'!$E:$E,0)))</f>
        <v/>
      </c>
      <c r="C506" s="298" t="str">
        <f>IF(LEN(A506)=0,"",INDEX('Smelter Reference List'!$C:$C,MATCH($A506,'Smelter Reference List'!$E:$E,0)))</f>
        <v/>
      </c>
      <c r="D506" s="292" t="str">
        <f ca="1">IF(ISERROR($S506),"",OFFSET('Smelter Reference List'!$C$4,$S506-4,0)&amp;"")</f>
        <v/>
      </c>
      <c r="E506" s="292" t="str">
        <f ca="1">IF(ISERROR($S506),"",OFFSET('Smelter Reference List'!$D$4,$S506-4,0)&amp;"")</f>
        <v/>
      </c>
      <c r="F506" s="292" t="str">
        <f ca="1">IF(ISERROR($S506),"",OFFSET('Smelter Reference List'!$E$4,$S506-4,0))</f>
        <v/>
      </c>
      <c r="G506" s="292" t="str">
        <f ca="1">IF(C506=$U$4,"Enter smelter details", IF(ISERROR($S506),"",OFFSET('Smelter Reference List'!$F$4,$S506-4,0)))</f>
        <v/>
      </c>
      <c r="H506" s="293" t="str">
        <f ca="1">IF(ISERROR($S506),"",OFFSET('Smelter Reference List'!$G$4,$S506-4,0))</f>
        <v/>
      </c>
      <c r="I506" s="294" t="str">
        <f ca="1">IF(ISERROR($S506),"",OFFSET('Smelter Reference List'!$H$4,$S506-4,0))</f>
        <v/>
      </c>
      <c r="J506" s="294" t="str">
        <f ca="1">IF(ISERROR($S506),"",OFFSET('Smelter Reference List'!$I$4,$S506-4,0))</f>
        <v/>
      </c>
      <c r="K506" s="295"/>
      <c r="L506" s="295"/>
      <c r="M506" s="295"/>
      <c r="N506" s="295"/>
      <c r="O506" s="295"/>
      <c r="P506" s="295"/>
      <c r="Q506" s="296"/>
      <c r="R506" s="227"/>
      <c r="S506" s="228" t="e">
        <f>IF(C506="",NA(),MATCH($B506&amp;$C506,'Smelter Reference List'!$J:$J,0))</f>
        <v>#N/A</v>
      </c>
      <c r="T506" s="229"/>
      <c r="U506" s="229">
        <f t="shared" ca="1" si="16"/>
        <v>0</v>
      </c>
      <c r="V506" s="229"/>
      <c r="W506" s="229"/>
      <c r="Y506" s="223" t="str">
        <f t="shared" si="17"/>
        <v/>
      </c>
    </row>
    <row r="507" spans="1:25" s="223" customFormat="1" ht="20.25">
      <c r="A507" s="291"/>
      <c r="B507" s="292" t="str">
        <f>IF(LEN(A507)=0,"",INDEX('Smelter Reference List'!$A:$A,MATCH($A507,'Smelter Reference List'!$E:$E,0)))</f>
        <v/>
      </c>
      <c r="C507" s="298" t="str">
        <f>IF(LEN(A507)=0,"",INDEX('Smelter Reference List'!$C:$C,MATCH($A507,'Smelter Reference List'!$E:$E,0)))</f>
        <v/>
      </c>
      <c r="D507" s="292" t="str">
        <f ca="1">IF(ISERROR($S507),"",OFFSET('Smelter Reference List'!$C$4,$S507-4,0)&amp;"")</f>
        <v/>
      </c>
      <c r="E507" s="292" t="str">
        <f ca="1">IF(ISERROR($S507),"",OFFSET('Smelter Reference List'!$D$4,$S507-4,0)&amp;"")</f>
        <v/>
      </c>
      <c r="F507" s="292" t="str">
        <f ca="1">IF(ISERROR($S507),"",OFFSET('Smelter Reference List'!$E$4,$S507-4,0))</f>
        <v/>
      </c>
      <c r="G507" s="292" t="str">
        <f ca="1">IF(C507=$U$4,"Enter smelter details", IF(ISERROR($S507),"",OFFSET('Smelter Reference List'!$F$4,$S507-4,0)))</f>
        <v/>
      </c>
      <c r="H507" s="293" t="str">
        <f ca="1">IF(ISERROR($S507),"",OFFSET('Smelter Reference List'!$G$4,$S507-4,0))</f>
        <v/>
      </c>
      <c r="I507" s="294" t="str">
        <f ca="1">IF(ISERROR($S507),"",OFFSET('Smelter Reference List'!$H$4,$S507-4,0))</f>
        <v/>
      </c>
      <c r="J507" s="294" t="str">
        <f ca="1">IF(ISERROR($S507),"",OFFSET('Smelter Reference List'!$I$4,$S507-4,0))</f>
        <v/>
      </c>
      <c r="K507" s="295"/>
      <c r="L507" s="295"/>
      <c r="M507" s="295"/>
      <c r="N507" s="295"/>
      <c r="O507" s="295"/>
      <c r="P507" s="295"/>
      <c r="Q507" s="296"/>
      <c r="R507" s="227"/>
      <c r="S507" s="228" t="e">
        <f>IF(C507="",NA(),MATCH($B507&amp;$C507,'Smelter Reference List'!$J:$J,0))</f>
        <v>#N/A</v>
      </c>
      <c r="T507" s="229"/>
      <c r="U507" s="229">
        <f t="shared" ca="1" si="16"/>
        <v>0</v>
      </c>
      <c r="V507" s="229"/>
      <c r="W507" s="229"/>
      <c r="Y507" s="223" t="str">
        <f t="shared" si="17"/>
        <v/>
      </c>
    </row>
    <row r="508" spans="1:25" s="223" customFormat="1" ht="20.25">
      <c r="A508" s="291"/>
      <c r="B508" s="292" t="str">
        <f>IF(LEN(A508)=0,"",INDEX('Smelter Reference List'!$A:$A,MATCH($A508,'Smelter Reference List'!$E:$E,0)))</f>
        <v/>
      </c>
      <c r="C508" s="298" t="str">
        <f>IF(LEN(A508)=0,"",INDEX('Smelter Reference List'!$C:$C,MATCH($A508,'Smelter Reference List'!$E:$E,0)))</f>
        <v/>
      </c>
      <c r="D508" s="292" t="str">
        <f ca="1">IF(ISERROR($S508),"",OFFSET('Smelter Reference List'!$C$4,$S508-4,0)&amp;"")</f>
        <v/>
      </c>
      <c r="E508" s="292" t="str">
        <f ca="1">IF(ISERROR($S508),"",OFFSET('Smelter Reference List'!$D$4,$S508-4,0)&amp;"")</f>
        <v/>
      </c>
      <c r="F508" s="292" t="str">
        <f ca="1">IF(ISERROR($S508),"",OFFSET('Smelter Reference List'!$E$4,$S508-4,0))</f>
        <v/>
      </c>
      <c r="G508" s="292" t="str">
        <f ca="1">IF(C508=$U$4,"Enter smelter details", IF(ISERROR($S508),"",OFFSET('Smelter Reference List'!$F$4,$S508-4,0)))</f>
        <v/>
      </c>
      <c r="H508" s="293" t="str">
        <f ca="1">IF(ISERROR($S508),"",OFFSET('Smelter Reference List'!$G$4,$S508-4,0))</f>
        <v/>
      </c>
      <c r="I508" s="294" t="str">
        <f ca="1">IF(ISERROR($S508),"",OFFSET('Smelter Reference List'!$H$4,$S508-4,0))</f>
        <v/>
      </c>
      <c r="J508" s="294" t="str">
        <f ca="1">IF(ISERROR($S508),"",OFFSET('Smelter Reference List'!$I$4,$S508-4,0))</f>
        <v/>
      </c>
      <c r="K508" s="295"/>
      <c r="L508" s="295"/>
      <c r="M508" s="295"/>
      <c r="N508" s="295"/>
      <c r="O508" s="295"/>
      <c r="P508" s="295"/>
      <c r="Q508" s="296"/>
      <c r="R508" s="227"/>
      <c r="S508" s="228" t="e">
        <f>IF(C508="",NA(),MATCH($B508&amp;$C508,'Smelter Reference List'!$J:$J,0))</f>
        <v>#N/A</v>
      </c>
      <c r="T508" s="229"/>
      <c r="U508" s="229">
        <f t="shared" ca="1" si="16"/>
        <v>0</v>
      </c>
      <c r="V508" s="229"/>
      <c r="W508" s="229"/>
      <c r="Y508" s="223" t="str">
        <f t="shared" si="17"/>
        <v/>
      </c>
    </row>
    <row r="509" spans="1:25" s="223" customFormat="1" ht="20.25">
      <c r="A509" s="291"/>
      <c r="B509" s="292" t="str">
        <f>IF(LEN(A509)=0,"",INDEX('Smelter Reference List'!$A:$A,MATCH($A509,'Smelter Reference List'!$E:$E,0)))</f>
        <v/>
      </c>
      <c r="C509" s="298" t="str">
        <f>IF(LEN(A509)=0,"",INDEX('Smelter Reference List'!$C:$C,MATCH($A509,'Smelter Reference List'!$E:$E,0)))</f>
        <v/>
      </c>
      <c r="D509" s="292" t="str">
        <f ca="1">IF(ISERROR($S509),"",OFFSET('Smelter Reference List'!$C$4,$S509-4,0)&amp;"")</f>
        <v/>
      </c>
      <c r="E509" s="292" t="str">
        <f ca="1">IF(ISERROR($S509),"",OFFSET('Smelter Reference List'!$D$4,$S509-4,0)&amp;"")</f>
        <v/>
      </c>
      <c r="F509" s="292" t="str">
        <f ca="1">IF(ISERROR($S509),"",OFFSET('Smelter Reference List'!$E$4,$S509-4,0))</f>
        <v/>
      </c>
      <c r="G509" s="292" t="str">
        <f ca="1">IF(C509=$U$4,"Enter smelter details", IF(ISERROR($S509),"",OFFSET('Smelter Reference List'!$F$4,$S509-4,0)))</f>
        <v/>
      </c>
      <c r="H509" s="293" t="str">
        <f ca="1">IF(ISERROR($S509),"",OFFSET('Smelter Reference List'!$G$4,$S509-4,0))</f>
        <v/>
      </c>
      <c r="I509" s="294" t="str">
        <f ca="1">IF(ISERROR($S509),"",OFFSET('Smelter Reference List'!$H$4,$S509-4,0))</f>
        <v/>
      </c>
      <c r="J509" s="294" t="str">
        <f ca="1">IF(ISERROR($S509),"",OFFSET('Smelter Reference List'!$I$4,$S509-4,0))</f>
        <v/>
      </c>
      <c r="K509" s="295"/>
      <c r="L509" s="295"/>
      <c r="M509" s="295"/>
      <c r="N509" s="295"/>
      <c r="O509" s="295"/>
      <c r="P509" s="295"/>
      <c r="Q509" s="296"/>
      <c r="R509" s="227"/>
      <c r="S509" s="228" t="e">
        <f>IF(C509="",NA(),MATCH($B509&amp;$C509,'Smelter Reference List'!$J:$J,0))</f>
        <v>#N/A</v>
      </c>
      <c r="T509" s="229"/>
      <c r="U509" s="229">
        <f t="shared" ca="1" si="16"/>
        <v>0</v>
      </c>
      <c r="V509" s="229"/>
      <c r="W509" s="229"/>
      <c r="Y509" s="223" t="str">
        <f t="shared" si="17"/>
        <v/>
      </c>
    </row>
    <row r="510" spans="1:25" s="223" customFormat="1" ht="20.25">
      <c r="A510" s="291"/>
      <c r="B510" s="292" t="str">
        <f>IF(LEN(A510)=0,"",INDEX('Smelter Reference List'!$A:$A,MATCH($A510,'Smelter Reference List'!$E:$E,0)))</f>
        <v/>
      </c>
      <c r="C510" s="298" t="str">
        <f>IF(LEN(A510)=0,"",INDEX('Smelter Reference List'!$C:$C,MATCH($A510,'Smelter Reference List'!$E:$E,0)))</f>
        <v/>
      </c>
      <c r="D510" s="292" t="str">
        <f ca="1">IF(ISERROR($S510),"",OFFSET('Smelter Reference List'!$C$4,$S510-4,0)&amp;"")</f>
        <v/>
      </c>
      <c r="E510" s="292" t="str">
        <f ca="1">IF(ISERROR($S510),"",OFFSET('Smelter Reference List'!$D$4,$S510-4,0)&amp;"")</f>
        <v/>
      </c>
      <c r="F510" s="292" t="str">
        <f ca="1">IF(ISERROR($S510),"",OFFSET('Smelter Reference List'!$E$4,$S510-4,0))</f>
        <v/>
      </c>
      <c r="G510" s="292" t="str">
        <f ca="1">IF(C510=$U$4,"Enter smelter details", IF(ISERROR($S510),"",OFFSET('Smelter Reference List'!$F$4,$S510-4,0)))</f>
        <v/>
      </c>
      <c r="H510" s="293" t="str">
        <f ca="1">IF(ISERROR($S510),"",OFFSET('Smelter Reference List'!$G$4,$S510-4,0))</f>
        <v/>
      </c>
      <c r="I510" s="294" t="str">
        <f ca="1">IF(ISERROR($S510),"",OFFSET('Smelter Reference List'!$H$4,$S510-4,0))</f>
        <v/>
      </c>
      <c r="J510" s="294" t="str">
        <f ca="1">IF(ISERROR($S510),"",OFFSET('Smelter Reference List'!$I$4,$S510-4,0))</f>
        <v/>
      </c>
      <c r="K510" s="295"/>
      <c r="L510" s="295"/>
      <c r="M510" s="295"/>
      <c r="N510" s="295"/>
      <c r="O510" s="295"/>
      <c r="P510" s="295"/>
      <c r="Q510" s="296"/>
      <c r="R510" s="227"/>
      <c r="S510" s="228" t="e">
        <f>IF(C510="",NA(),MATCH($B510&amp;$C510,'Smelter Reference List'!$J:$J,0))</f>
        <v>#N/A</v>
      </c>
      <c r="T510" s="229"/>
      <c r="U510" s="229">
        <f t="shared" ca="1" si="16"/>
        <v>0</v>
      </c>
      <c r="V510" s="229"/>
      <c r="W510" s="229"/>
      <c r="Y510" s="223" t="str">
        <f t="shared" si="17"/>
        <v/>
      </c>
    </row>
    <row r="511" spans="1:25" s="223" customFormat="1" ht="20.25">
      <c r="A511" s="291"/>
      <c r="B511" s="292" t="str">
        <f>IF(LEN(A511)=0,"",INDEX('Smelter Reference List'!$A:$A,MATCH($A511,'Smelter Reference List'!$E:$E,0)))</f>
        <v/>
      </c>
      <c r="C511" s="298" t="str">
        <f>IF(LEN(A511)=0,"",INDEX('Smelter Reference List'!$C:$C,MATCH($A511,'Smelter Reference List'!$E:$E,0)))</f>
        <v/>
      </c>
      <c r="D511" s="292" t="str">
        <f ca="1">IF(ISERROR($S511),"",OFFSET('Smelter Reference List'!$C$4,$S511-4,0)&amp;"")</f>
        <v/>
      </c>
      <c r="E511" s="292" t="str">
        <f ca="1">IF(ISERROR($S511),"",OFFSET('Smelter Reference List'!$D$4,$S511-4,0)&amp;"")</f>
        <v/>
      </c>
      <c r="F511" s="292" t="str">
        <f ca="1">IF(ISERROR($S511),"",OFFSET('Smelter Reference List'!$E$4,$S511-4,0))</f>
        <v/>
      </c>
      <c r="G511" s="292" t="str">
        <f ca="1">IF(C511=$U$4,"Enter smelter details", IF(ISERROR($S511),"",OFFSET('Smelter Reference List'!$F$4,$S511-4,0)))</f>
        <v/>
      </c>
      <c r="H511" s="293" t="str">
        <f ca="1">IF(ISERROR($S511),"",OFFSET('Smelter Reference List'!$G$4,$S511-4,0))</f>
        <v/>
      </c>
      <c r="I511" s="294" t="str">
        <f ca="1">IF(ISERROR($S511),"",OFFSET('Smelter Reference List'!$H$4,$S511-4,0))</f>
        <v/>
      </c>
      <c r="J511" s="294" t="str">
        <f ca="1">IF(ISERROR($S511),"",OFFSET('Smelter Reference List'!$I$4,$S511-4,0))</f>
        <v/>
      </c>
      <c r="K511" s="295"/>
      <c r="L511" s="295"/>
      <c r="M511" s="295"/>
      <c r="N511" s="295"/>
      <c r="O511" s="295"/>
      <c r="P511" s="295"/>
      <c r="Q511" s="296"/>
      <c r="R511" s="227"/>
      <c r="S511" s="228" t="e">
        <f>IF(C511="",NA(),MATCH($B511&amp;$C511,'Smelter Reference List'!$J:$J,0))</f>
        <v>#N/A</v>
      </c>
      <c r="T511" s="229"/>
      <c r="U511" s="229">
        <f t="shared" ca="1" si="16"/>
        <v>0</v>
      </c>
      <c r="V511" s="229"/>
      <c r="W511" s="229"/>
      <c r="Y511" s="223" t="str">
        <f t="shared" si="17"/>
        <v/>
      </c>
    </row>
    <row r="512" spans="1:25" s="223" customFormat="1" ht="20.25">
      <c r="A512" s="291"/>
      <c r="B512" s="292" t="str">
        <f>IF(LEN(A512)=0,"",INDEX('Smelter Reference List'!$A:$A,MATCH($A512,'Smelter Reference List'!$E:$E,0)))</f>
        <v/>
      </c>
      <c r="C512" s="298" t="str">
        <f>IF(LEN(A512)=0,"",INDEX('Smelter Reference List'!$C:$C,MATCH($A512,'Smelter Reference List'!$E:$E,0)))</f>
        <v/>
      </c>
      <c r="D512" s="292" t="str">
        <f ca="1">IF(ISERROR($S512),"",OFFSET('Smelter Reference List'!$C$4,$S512-4,0)&amp;"")</f>
        <v/>
      </c>
      <c r="E512" s="292" t="str">
        <f ca="1">IF(ISERROR($S512),"",OFFSET('Smelter Reference List'!$D$4,$S512-4,0)&amp;"")</f>
        <v/>
      </c>
      <c r="F512" s="292" t="str">
        <f ca="1">IF(ISERROR($S512),"",OFFSET('Smelter Reference List'!$E$4,$S512-4,0))</f>
        <v/>
      </c>
      <c r="G512" s="292" t="str">
        <f ca="1">IF(C512=$U$4,"Enter smelter details", IF(ISERROR($S512),"",OFFSET('Smelter Reference List'!$F$4,$S512-4,0)))</f>
        <v/>
      </c>
      <c r="H512" s="293" t="str">
        <f ca="1">IF(ISERROR($S512),"",OFFSET('Smelter Reference List'!$G$4,$S512-4,0))</f>
        <v/>
      </c>
      <c r="I512" s="294" t="str">
        <f ca="1">IF(ISERROR($S512),"",OFFSET('Smelter Reference List'!$H$4,$S512-4,0))</f>
        <v/>
      </c>
      <c r="J512" s="294" t="str">
        <f ca="1">IF(ISERROR($S512),"",OFFSET('Smelter Reference List'!$I$4,$S512-4,0))</f>
        <v/>
      </c>
      <c r="K512" s="295"/>
      <c r="L512" s="295"/>
      <c r="M512" s="295"/>
      <c r="N512" s="295"/>
      <c r="O512" s="295"/>
      <c r="P512" s="295"/>
      <c r="Q512" s="296"/>
      <c r="R512" s="227"/>
      <c r="S512" s="228" t="e">
        <f>IF(C512="",NA(),MATCH($B512&amp;$C512,'Smelter Reference List'!$J:$J,0))</f>
        <v>#N/A</v>
      </c>
      <c r="T512" s="229"/>
      <c r="U512" s="229">
        <f t="shared" ca="1" si="16"/>
        <v>0</v>
      </c>
      <c r="V512" s="229"/>
      <c r="W512" s="229"/>
      <c r="Y512" s="223" t="str">
        <f t="shared" si="17"/>
        <v/>
      </c>
    </row>
    <row r="513" spans="1:25" s="223" customFormat="1" ht="20.25">
      <c r="A513" s="291"/>
      <c r="B513" s="292" t="str">
        <f>IF(LEN(A513)=0,"",INDEX('Smelter Reference List'!$A:$A,MATCH($A513,'Smelter Reference List'!$E:$E,0)))</f>
        <v/>
      </c>
      <c r="C513" s="298" t="str">
        <f>IF(LEN(A513)=0,"",INDEX('Smelter Reference List'!$C:$C,MATCH($A513,'Smelter Reference List'!$E:$E,0)))</f>
        <v/>
      </c>
      <c r="D513" s="292" t="str">
        <f ca="1">IF(ISERROR($S513),"",OFFSET('Smelter Reference List'!$C$4,$S513-4,0)&amp;"")</f>
        <v/>
      </c>
      <c r="E513" s="292" t="str">
        <f ca="1">IF(ISERROR($S513),"",OFFSET('Smelter Reference List'!$D$4,$S513-4,0)&amp;"")</f>
        <v/>
      </c>
      <c r="F513" s="292" t="str">
        <f ca="1">IF(ISERROR($S513),"",OFFSET('Smelter Reference List'!$E$4,$S513-4,0))</f>
        <v/>
      </c>
      <c r="G513" s="292" t="str">
        <f ca="1">IF(C513=$U$4,"Enter smelter details", IF(ISERROR($S513),"",OFFSET('Smelter Reference List'!$F$4,$S513-4,0)))</f>
        <v/>
      </c>
      <c r="H513" s="293" t="str">
        <f ca="1">IF(ISERROR($S513),"",OFFSET('Smelter Reference List'!$G$4,$S513-4,0))</f>
        <v/>
      </c>
      <c r="I513" s="294" t="str">
        <f ca="1">IF(ISERROR($S513),"",OFFSET('Smelter Reference List'!$H$4,$S513-4,0))</f>
        <v/>
      </c>
      <c r="J513" s="294" t="str">
        <f ca="1">IF(ISERROR($S513),"",OFFSET('Smelter Reference List'!$I$4,$S513-4,0))</f>
        <v/>
      </c>
      <c r="K513" s="295"/>
      <c r="L513" s="295"/>
      <c r="M513" s="295"/>
      <c r="N513" s="295"/>
      <c r="O513" s="295"/>
      <c r="P513" s="295"/>
      <c r="Q513" s="296"/>
      <c r="R513" s="227"/>
      <c r="S513" s="228" t="e">
        <f>IF(C513="",NA(),MATCH($B513&amp;$C513,'Smelter Reference List'!$J:$J,0))</f>
        <v>#N/A</v>
      </c>
      <c r="T513" s="229"/>
      <c r="U513" s="229">
        <f t="shared" ca="1" si="16"/>
        <v>0</v>
      </c>
      <c r="V513" s="229"/>
      <c r="W513" s="229"/>
      <c r="Y513" s="223" t="str">
        <f t="shared" si="17"/>
        <v/>
      </c>
    </row>
    <row r="514" spans="1:25" s="223" customFormat="1" ht="20.25">
      <c r="A514" s="291"/>
      <c r="B514" s="292" t="str">
        <f>IF(LEN(A514)=0,"",INDEX('Smelter Reference List'!$A:$A,MATCH($A514,'Smelter Reference List'!$E:$E,0)))</f>
        <v/>
      </c>
      <c r="C514" s="298" t="str">
        <f>IF(LEN(A514)=0,"",INDEX('Smelter Reference List'!$C:$C,MATCH($A514,'Smelter Reference List'!$E:$E,0)))</f>
        <v/>
      </c>
      <c r="D514" s="292" t="str">
        <f ca="1">IF(ISERROR($S514),"",OFFSET('Smelter Reference List'!$C$4,$S514-4,0)&amp;"")</f>
        <v/>
      </c>
      <c r="E514" s="292" t="str">
        <f ca="1">IF(ISERROR($S514),"",OFFSET('Smelter Reference List'!$D$4,$S514-4,0)&amp;"")</f>
        <v/>
      </c>
      <c r="F514" s="292" t="str">
        <f ca="1">IF(ISERROR($S514),"",OFFSET('Smelter Reference List'!$E$4,$S514-4,0))</f>
        <v/>
      </c>
      <c r="G514" s="292" t="str">
        <f ca="1">IF(C514=$U$4,"Enter smelter details", IF(ISERROR($S514),"",OFFSET('Smelter Reference List'!$F$4,$S514-4,0)))</f>
        <v/>
      </c>
      <c r="H514" s="293" t="str">
        <f ca="1">IF(ISERROR($S514),"",OFFSET('Smelter Reference List'!$G$4,$S514-4,0))</f>
        <v/>
      </c>
      <c r="I514" s="294" t="str">
        <f ca="1">IF(ISERROR($S514),"",OFFSET('Smelter Reference List'!$H$4,$S514-4,0))</f>
        <v/>
      </c>
      <c r="J514" s="294" t="str">
        <f ca="1">IF(ISERROR($S514),"",OFFSET('Smelter Reference List'!$I$4,$S514-4,0))</f>
        <v/>
      </c>
      <c r="K514" s="295"/>
      <c r="L514" s="295"/>
      <c r="M514" s="295"/>
      <c r="N514" s="295"/>
      <c r="O514" s="295"/>
      <c r="P514" s="295"/>
      <c r="Q514" s="296"/>
      <c r="R514" s="227"/>
      <c r="S514" s="228" t="e">
        <f>IF(C514="",NA(),MATCH($B514&amp;$C514,'Smelter Reference List'!$J:$J,0))</f>
        <v>#N/A</v>
      </c>
      <c r="T514" s="229"/>
      <c r="U514" s="229">
        <f t="shared" ca="1" si="16"/>
        <v>0</v>
      </c>
      <c r="V514" s="229"/>
      <c r="W514" s="229"/>
      <c r="Y514" s="223" t="str">
        <f t="shared" si="17"/>
        <v/>
      </c>
    </row>
    <row r="515" spans="1:25" s="223" customFormat="1" ht="20.25">
      <c r="A515" s="291"/>
      <c r="B515" s="292" t="str">
        <f>IF(LEN(A515)=0,"",INDEX('Smelter Reference List'!$A:$A,MATCH($A515,'Smelter Reference List'!$E:$E,0)))</f>
        <v/>
      </c>
      <c r="C515" s="298" t="str">
        <f>IF(LEN(A515)=0,"",INDEX('Smelter Reference List'!$C:$C,MATCH($A515,'Smelter Reference List'!$E:$E,0)))</f>
        <v/>
      </c>
      <c r="D515" s="292" t="str">
        <f ca="1">IF(ISERROR($S515),"",OFFSET('Smelter Reference List'!$C$4,$S515-4,0)&amp;"")</f>
        <v/>
      </c>
      <c r="E515" s="292" t="str">
        <f ca="1">IF(ISERROR($S515),"",OFFSET('Smelter Reference List'!$D$4,$S515-4,0)&amp;"")</f>
        <v/>
      </c>
      <c r="F515" s="292" t="str">
        <f ca="1">IF(ISERROR($S515),"",OFFSET('Smelter Reference List'!$E$4,$S515-4,0))</f>
        <v/>
      </c>
      <c r="G515" s="292" t="str">
        <f ca="1">IF(C515=$U$4,"Enter smelter details", IF(ISERROR($S515),"",OFFSET('Smelter Reference List'!$F$4,$S515-4,0)))</f>
        <v/>
      </c>
      <c r="H515" s="293" t="str">
        <f ca="1">IF(ISERROR($S515),"",OFFSET('Smelter Reference List'!$G$4,$S515-4,0))</f>
        <v/>
      </c>
      <c r="I515" s="294" t="str">
        <f ca="1">IF(ISERROR($S515),"",OFFSET('Smelter Reference List'!$H$4,$S515-4,0))</f>
        <v/>
      </c>
      <c r="J515" s="294" t="str">
        <f ca="1">IF(ISERROR($S515),"",OFFSET('Smelter Reference List'!$I$4,$S515-4,0))</f>
        <v/>
      </c>
      <c r="K515" s="295"/>
      <c r="L515" s="295"/>
      <c r="M515" s="295"/>
      <c r="N515" s="295"/>
      <c r="O515" s="295"/>
      <c r="P515" s="295"/>
      <c r="Q515" s="296"/>
      <c r="R515" s="227"/>
      <c r="S515" s="228" t="e">
        <f>IF(C515="",NA(),MATCH($B515&amp;$C515,'Smelter Reference List'!$J:$J,0))</f>
        <v>#N/A</v>
      </c>
      <c r="T515" s="229"/>
      <c r="U515" s="229">
        <f t="shared" ca="1" si="16"/>
        <v>0</v>
      </c>
      <c r="V515" s="229"/>
      <c r="W515" s="229"/>
      <c r="Y515" s="223" t="str">
        <f t="shared" si="17"/>
        <v/>
      </c>
    </row>
    <row r="516" spans="1:25" s="223" customFormat="1" ht="20.25">
      <c r="A516" s="291"/>
      <c r="B516" s="292" t="str">
        <f>IF(LEN(A516)=0,"",INDEX('Smelter Reference List'!$A:$A,MATCH($A516,'Smelter Reference List'!$E:$E,0)))</f>
        <v/>
      </c>
      <c r="C516" s="298" t="str">
        <f>IF(LEN(A516)=0,"",INDEX('Smelter Reference List'!$C:$C,MATCH($A516,'Smelter Reference List'!$E:$E,0)))</f>
        <v/>
      </c>
      <c r="D516" s="292" t="str">
        <f ca="1">IF(ISERROR($S516),"",OFFSET('Smelter Reference List'!$C$4,$S516-4,0)&amp;"")</f>
        <v/>
      </c>
      <c r="E516" s="292" t="str">
        <f ca="1">IF(ISERROR($S516),"",OFFSET('Smelter Reference List'!$D$4,$S516-4,0)&amp;"")</f>
        <v/>
      </c>
      <c r="F516" s="292" t="str">
        <f ca="1">IF(ISERROR($S516),"",OFFSET('Smelter Reference List'!$E$4,$S516-4,0))</f>
        <v/>
      </c>
      <c r="G516" s="292" t="str">
        <f ca="1">IF(C516=$U$4,"Enter smelter details", IF(ISERROR($S516),"",OFFSET('Smelter Reference List'!$F$4,$S516-4,0)))</f>
        <v/>
      </c>
      <c r="H516" s="293" t="str">
        <f ca="1">IF(ISERROR($S516),"",OFFSET('Smelter Reference List'!$G$4,$S516-4,0))</f>
        <v/>
      </c>
      <c r="I516" s="294" t="str">
        <f ca="1">IF(ISERROR($S516),"",OFFSET('Smelter Reference List'!$H$4,$S516-4,0))</f>
        <v/>
      </c>
      <c r="J516" s="294" t="str">
        <f ca="1">IF(ISERROR($S516),"",OFFSET('Smelter Reference List'!$I$4,$S516-4,0))</f>
        <v/>
      </c>
      <c r="K516" s="295"/>
      <c r="L516" s="295"/>
      <c r="M516" s="295"/>
      <c r="N516" s="295"/>
      <c r="O516" s="295"/>
      <c r="P516" s="295"/>
      <c r="Q516" s="296"/>
      <c r="R516" s="227"/>
      <c r="S516" s="228" t="e">
        <f>IF(C516="",NA(),MATCH($B516&amp;$C516,'Smelter Reference List'!$J:$J,0))</f>
        <v>#N/A</v>
      </c>
      <c r="T516" s="229"/>
      <c r="U516" s="229">
        <f t="shared" ca="1" si="16"/>
        <v>0</v>
      </c>
      <c r="V516" s="229"/>
      <c r="W516" s="229"/>
      <c r="Y516" s="223" t="str">
        <f t="shared" si="17"/>
        <v/>
      </c>
    </row>
    <row r="517" spans="1:25" s="223" customFormat="1" ht="20.25">
      <c r="A517" s="291"/>
      <c r="B517" s="292" t="str">
        <f>IF(LEN(A517)=0,"",INDEX('Smelter Reference List'!$A:$A,MATCH($A517,'Smelter Reference List'!$E:$E,0)))</f>
        <v/>
      </c>
      <c r="C517" s="298" t="str">
        <f>IF(LEN(A517)=0,"",INDEX('Smelter Reference List'!$C:$C,MATCH($A517,'Smelter Reference List'!$E:$E,0)))</f>
        <v/>
      </c>
      <c r="D517" s="292" t="str">
        <f ca="1">IF(ISERROR($S517),"",OFFSET('Smelter Reference List'!$C$4,$S517-4,0)&amp;"")</f>
        <v/>
      </c>
      <c r="E517" s="292" t="str">
        <f ca="1">IF(ISERROR($S517),"",OFFSET('Smelter Reference List'!$D$4,$S517-4,0)&amp;"")</f>
        <v/>
      </c>
      <c r="F517" s="292" t="str">
        <f ca="1">IF(ISERROR($S517),"",OFFSET('Smelter Reference List'!$E$4,$S517-4,0))</f>
        <v/>
      </c>
      <c r="G517" s="292" t="str">
        <f ca="1">IF(C517=$U$4,"Enter smelter details", IF(ISERROR($S517),"",OFFSET('Smelter Reference List'!$F$4,$S517-4,0)))</f>
        <v/>
      </c>
      <c r="H517" s="293" t="str">
        <f ca="1">IF(ISERROR($S517),"",OFFSET('Smelter Reference List'!$G$4,$S517-4,0))</f>
        <v/>
      </c>
      <c r="I517" s="294" t="str">
        <f ca="1">IF(ISERROR($S517),"",OFFSET('Smelter Reference List'!$H$4,$S517-4,0))</f>
        <v/>
      </c>
      <c r="J517" s="294" t="str">
        <f ca="1">IF(ISERROR($S517),"",OFFSET('Smelter Reference List'!$I$4,$S517-4,0))</f>
        <v/>
      </c>
      <c r="K517" s="295"/>
      <c r="L517" s="295"/>
      <c r="M517" s="295"/>
      <c r="N517" s="295"/>
      <c r="O517" s="295"/>
      <c r="P517" s="295"/>
      <c r="Q517" s="296"/>
      <c r="R517" s="227"/>
      <c r="S517" s="228" t="e">
        <f>IF(C517="",NA(),MATCH($B517&amp;$C517,'Smelter Reference List'!$J:$J,0))</f>
        <v>#N/A</v>
      </c>
      <c r="T517" s="229"/>
      <c r="U517" s="229">
        <f t="shared" ref="U517:U580" ca="1" si="18">IF(AND(C517="Smelter not listed",OR(LEN(D517)=0,LEN(E517)=0)),1,0)</f>
        <v>0</v>
      </c>
      <c r="V517" s="229"/>
      <c r="W517" s="229"/>
      <c r="Y517" s="223" t="str">
        <f t="shared" ref="Y517:Y580" si="19">B517&amp;C517</f>
        <v/>
      </c>
    </row>
    <row r="518" spans="1:25" s="223" customFormat="1" ht="20.25">
      <c r="A518" s="291"/>
      <c r="B518" s="292" t="str">
        <f>IF(LEN(A518)=0,"",INDEX('Smelter Reference List'!$A:$A,MATCH($A518,'Smelter Reference List'!$E:$E,0)))</f>
        <v/>
      </c>
      <c r="C518" s="298" t="str">
        <f>IF(LEN(A518)=0,"",INDEX('Smelter Reference List'!$C:$C,MATCH($A518,'Smelter Reference List'!$E:$E,0)))</f>
        <v/>
      </c>
      <c r="D518" s="292" t="str">
        <f ca="1">IF(ISERROR($S518),"",OFFSET('Smelter Reference List'!$C$4,$S518-4,0)&amp;"")</f>
        <v/>
      </c>
      <c r="E518" s="292" t="str">
        <f ca="1">IF(ISERROR($S518),"",OFFSET('Smelter Reference List'!$D$4,$S518-4,0)&amp;"")</f>
        <v/>
      </c>
      <c r="F518" s="292" t="str">
        <f ca="1">IF(ISERROR($S518),"",OFFSET('Smelter Reference List'!$E$4,$S518-4,0))</f>
        <v/>
      </c>
      <c r="G518" s="292" t="str">
        <f ca="1">IF(C518=$U$4,"Enter smelter details", IF(ISERROR($S518),"",OFFSET('Smelter Reference List'!$F$4,$S518-4,0)))</f>
        <v/>
      </c>
      <c r="H518" s="293" t="str">
        <f ca="1">IF(ISERROR($S518),"",OFFSET('Smelter Reference List'!$G$4,$S518-4,0))</f>
        <v/>
      </c>
      <c r="I518" s="294" t="str">
        <f ca="1">IF(ISERROR($S518),"",OFFSET('Smelter Reference List'!$H$4,$S518-4,0))</f>
        <v/>
      </c>
      <c r="J518" s="294" t="str">
        <f ca="1">IF(ISERROR($S518),"",OFFSET('Smelter Reference List'!$I$4,$S518-4,0))</f>
        <v/>
      </c>
      <c r="K518" s="295"/>
      <c r="L518" s="295"/>
      <c r="M518" s="295"/>
      <c r="N518" s="295"/>
      <c r="O518" s="295"/>
      <c r="P518" s="295"/>
      <c r="Q518" s="296"/>
      <c r="R518" s="227"/>
      <c r="S518" s="228" t="e">
        <f>IF(C518="",NA(),MATCH($B518&amp;$C518,'Smelter Reference List'!$J:$J,0))</f>
        <v>#N/A</v>
      </c>
      <c r="T518" s="229"/>
      <c r="U518" s="229">
        <f t="shared" ca="1" si="18"/>
        <v>0</v>
      </c>
      <c r="V518" s="229"/>
      <c r="W518" s="229"/>
      <c r="Y518" s="223" t="str">
        <f t="shared" si="19"/>
        <v/>
      </c>
    </row>
    <row r="519" spans="1:25" s="223" customFormat="1" ht="20.25">
      <c r="A519" s="291"/>
      <c r="B519" s="292" t="str">
        <f>IF(LEN(A519)=0,"",INDEX('Smelter Reference List'!$A:$A,MATCH($A519,'Smelter Reference List'!$E:$E,0)))</f>
        <v/>
      </c>
      <c r="C519" s="298" t="str">
        <f>IF(LEN(A519)=0,"",INDEX('Smelter Reference List'!$C:$C,MATCH($A519,'Smelter Reference List'!$E:$E,0)))</f>
        <v/>
      </c>
      <c r="D519" s="292" t="str">
        <f ca="1">IF(ISERROR($S519),"",OFFSET('Smelter Reference List'!$C$4,$S519-4,0)&amp;"")</f>
        <v/>
      </c>
      <c r="E519" s="292" t="str">
        <f ca="1">IF(ISERROR($S519),"",OFFSET('Smelter Reference List'!$D$4,$S519-4,0)&amp;"")</f>
        <v/>
      </c>
      <c r="F519" s="292" t="str">
        <f ca="1">IF(ISERROR($S519),"",OFFSET('Smelter Reference List'!$E$4,$S519-4,0))</f>
        <v/>
      </c>
      <c r="G519" s="292" t="str">
        <f ca="1">IF(C519=$U$4,"Enter smelter details", IF(ISERROR($S519),"",OFFSET('Smelter Reference List'!$F$4,$S519-4,0)))</f>
        <v/>
      </c>
      <c r="H519" s="293" t="str">
        <f ca="1">IF(ISERROR($S519),"",OFFSET('Smelter Reference List'!$G$4,$S519-4,0))</f>
        <v/>
      </c>
      <c r="I519" s="294" t="str">
        <f ca="1">IF(ISERROR($S519),"",OFFSET('Smelter Reference List'!$H$4,$S519-4,0))</f>
        <v/>
      </c>
      <c r="J519" s="294" t="str">
        <f ca="1">IF(ISERROR($S519),"",OFFSET('Smelter Reference List'!$I$4,$S519-4,0))</f>
        <v/>
      </c>
      <c r="K519" s="295"/>
      <c r="L519" s="295"/>
      <c r="M519" s="295"/>
      <c r="N519" s="295"/>
      <c r="O519" s="295"/>
      <c r="P519" s="295"/>
      <c r="Q519" s="296"/>
      <c r="R519" s="227"/>
      <c r="S519" s="228" t="e">
        <f>IF(C519="",NA(),MATCH($B519&amp;$C519,'Smelter Reference List'!$J:$J,0))</f>
        <v>#N/A</v>
      </c>
      <c r="T519" s="229"/>
      <c r="U519" s="229">
        <f t="shared" ca="1" si="18"/>
        <v>0</v>
      </c>
      <c r="V519" s="229"/>
      <c r="W519" s="229"/>
      <c r="Y519" s="223" t="str">
        <f t="shared" si="19"/>
        <v/>
      </c>
    </row>
    <row r="520" spans="1:25" s="223" customFormat="1" ht="20.25">
      <c r="A520" s="291"/>
      <c r="B520" s="292" t="str">
        <f>IF(LEN(A520)=0,"",INDEX('Smelter Reference List'!$A:$A,MATCH($A520,'Smelter Reference List'!$E:$E,0)))</f>
        <v/>
      </c>
      <c r="C520" s="298" t="str">
        <f>IF(LEN(A520)=0,"",INDEX('Smelter Reference List'!$C:$C,MATCH($A520,'Smelter Reference List'!$E:$E,0)))</f>
        <v/>
      </c>
      <c r="D520" s="292" t="str">
        <f ca="1">IF(ISERROR($S520),"",OFFSET('Smelter Reference List'!$C$4,$S520-4,0)&amp;"")</f>
        <v/>
      </c>
      <c r="E520" s="292" t="str">
        <f ca="1">IF(ISERROR($S520),"",OFFSET('Smelter Reference List'!$D$4,$S520-4,0)&amp;"")</f>
        <v/>
      </c>
      <c r="F520" s="292" t="str">
        <f ca="1">IF(ISERROR($S520),"",OFFSET('Smelter Reference List'!$E$4,$S520-4,0))</f>
        <v/>
      </c>
      <c r="G520" s="292" t="str">
        <f ca="1">IF(C520=$U$4,"Enter smelter details", IF(ISERROR($S520),"",OFFSET('Smelter Reference List'!$F$4,$S520-4,0)))</f>
        <v/>
      </c>
      <c r="H520" s="293" t="str">
        <f ca="1">IF(ISERROR($S520),"",OFFSET('Smelter Reference List'!$G$4,$S520-4,0))</f>
        <v/>
      </c>
      <c r="I520" s="294" t="str">
        <f ca="1">IF(ISERROR($S520),"",OFFSET('Smelter Reference List'!$H$4,$S520-4,0))</f>
        <v/>
      </c>
      <c r="J520" s="294" t="str">
        <f ca="1">IF(ISERROR($S520),"",OFFSET('Smelter Reference List'!$I$4,$S520-4,0))</f>
        <v/>
      </c>
      <c r="K520" s="295"/>
      <c r="L520" s="295"/>
      <c r="M520" s="295"/>
      <c r="N520" s="295"/>
      <c r="O520" s="295"/>
      <c r="P520" s="295"/>
      <c r="Q520" s="296"/>
      <c r="R520" s="227"/>
      <c r="S520" s="228" t="e">
        <f>IF(C520="",NA(),MATCH($B520&amp;$C520,'Smelter Reference List'!$J:$J,0))</f>
        <v>#N/A</v>
      </c>
      <c r="T520" s="229"/>
      <c r="U520" s="229">
        <f t="shared" ca="1" si="18"/>
        <v>0</v>
      </c>
      <c r="V520" s="229"/>
      <c r="W520" s="229"/>
      <c r="Y520" s="223" t="str">
        <f t="shared" si="19"/>
        <v/>
      </c>
    </row>
    <row r="521" spans="1:25" s="223" customFormat="1" ht="20.25">
      <c r="A521" s="291"/>
      <c r="B521" s="292" t="str">
        <f>IF(LEN(A521)=0,"",INDEX('Smelter Reference List'!$A:$A,MATCH($A521,'Smelter Reference List'!$E:$E,0)))</f>
        <v/>
      </c>
      <c r="C521" s="298" t="str">
        <f>IF(LEN(A521)=0,"",INDEX('Smelter Reference List'!$C:$C,MATCH($A521,'Smelter Reference List'!$E:$E,0)))</f>
        <v/>
      </c>
      <c r="D521" s="292" t="str">
        <f ca="1">IF(ISERROR($S521),"",OFFSET('Smelter Reference List'!$C$4,$S521-4,0)&amp;"")</f>
        <v/>
      </c>
      <c r="E521" s="292" t="str">
        <f ca="1">IF(ISERROR($S521),"",OFFSET('Smelter Reference List'!$D$4,$S521-4,0)&amp;"")</f>
        <v/>
      </c>
      <c r="F521" s="292" t="str">
        <f ca="1">IF(ISERROR($S521),"",OFFSET('Smelter Reference List'!$E$4,$S521-4,0))</f>
        <v/>
      </c>
      <c r="G521" s="292" t="str">
        <f ca="1">IF(C521=$U$4,"Enter smelter details", IF(ISERROR($S521),"",OFFSET('Smelter Reference List'!$F$4,$S521-4,0)))</f>
        <v/>
      </c>
      <c r="H521" s="293" t="str">
        <f ca="1">IF(ISERROR($S521),"",OFFSET('Smelter Reference List'!$G$4,$S521-4,0))</f>
        <v/>
      </c>
      <c r="I521" s="294" t="str">
        <f ca="1">IF(ISERROR($S521),"",OFFSET('Smelter Reference List'!$H$4,$S521-4,0))</f>
        <v/>
      </c>
      <c r="J521" s="294" t="str">
        <f ca="1">IF(ISERROR($S521),"",OFFSET('Smelter Reference List'!$I$4,$S521-4,0))</f>
        <v/>
      </c>
      <c r="K521" s="295"/>
      <c r="L521" s="295"/>
      <c r="M521" s="295"/>
      <c r="N521" s="295"/>
      <c r="O521" s="295"/>
      <c r="P521" s="295"/>
      <c r="Q521" s="296"/>
      <c r="R521" s="227"/>
      <c r="S521" s="228" t="e">
        <f>IF(C521="",NA(),MATCH($B521&amp;$C521,'Smelter Reference List'!$J:$J,0))</f>
        <v>#N/A</v>
      </c>
      <c r="T521" s="229"/>
      <c r="U521" s="229">
        <f t="shared" ca="1" si="18"/>
        <v>0</v>
      </c>
      <c r="V521" s="229"/>
      <c r="W521" s="229"/>
      <c r="Y521" s="223" t="str">
        <f t="shared" si="19"/>
        <v/>
      </c>
    </row>
    <row r="522" spans="1:25" s="223" customFormat="1" ht="20.25">
      <c r="A522" s="291"/>
      <c r="B522" s="292" t="str">
        <f>IF(LEN(A522)=0,"",INDEX('Smelter Reference List'!$A:$A,MATCH($A522,'Smelter Reference List'!$E:$E,0)))</f>
        <v/>
      </c>
      <c r="C522" s="298" t="str">
        <f>IF(LEN(A522)=0,"",INDEX('Smelter Reference List'!$C:$C,MATCH($A522,'Smelter Reference List'!$E:$E,0)))</f>
        <v/>
      </c>
      <c r="D522" s="292" t="str">
        <f ca="1">IF(ISERROR($S522),"",OFFSET('Smelter Reference List'!$C$4,$S522-4,0)&amp;"")</f>
        <v/>
      </c>
      <c r="E522" s="292" t="str">
        <f ca="1">IF(ISERROR($S522),"",OFFSET('Smelter Reference List'!$D$4,$S522-4,0)&amp;"")</f>
        <v/>
      </c>
      <c r="F522" s="292" t="str">
        <f ca="1">IF(ISERROR($S522),"",OFFSET('Smelter Reference List'!$E$4,$S522-4,0))</f>
        <v/>
      </c>
      <c r="G522" s="292" t="str">
        <f ca="1">IF(C522=$U$4,"Enter smelter details", IF(ISERROR($S522),"",OFFSET('Smelter Reference List'!$F$4,$S522-4,0)))</f>
        <v/>
      </c>
      <c r="H522" s="293" t="str">
        <f ca="1">IF(ISERROR($S522),"",OFFSET('Smelter Reference List'!$G$4,$S522-4,0))</f>
        <v/>
      </c>
      <c r="I522" s="294" t="str">
        <f ca="1">IF(ISERROR($S522),"",OFFSET('Smelter Reference List'!$H$4,$S522-4,0))</f>
        <v/>
      </c>
      <c r="J522" s="294" t="str">
        <f ca="1">IF(ISERROR($S522),"",OFFSET('Smelter Reference List'!$I$4,$S522-4,0))</f>
        <v/>
      </c>
      <c r="K522" s="295"/>
      <c r="L522" s="295"/>
      <c r="M522" s="295"/>
      <c r="N522" s="295"/>
      <c r="O522" s="295"/>
      <c r="P522" s="295"/>
      <c r="Q522" s="296"/>
      <c r="R522" s="227"/>
      <c r="S522" s="228" t="e">
        <f>IF(C522="",NA(),MATCH($B522&amp;$C522,'Smelter Reference List'!$J:$J,0))</f>
        <v>#N/A</v>
      </c>
      <c r="T522" s="229"/>
      <c r="U522" s="229">
        <f t="shared" ca="1" si="18"/>
        <v>0</v>
      </c>
      <c r="V522" s="229"/>
      <c r="W522" s="229"/>
      <c r="Y522" s="223" t="str">
        <f t="shared" si="19"/>
        <v/>
      </c>
    </row>
    <row r="523" spans="1:25" s="223" customFormat="1" ht="20.25">
      <c r="A523" s="291"/>
      <c r="B523" s="292" t="str">
        <f>IF(LEN(A523)=0,"",INDEX('Smelter Reference List'!$A:$A,MATCH($A523,'Smelter Reference List'!$E:$E,0)))</f>
        <v/>
      </c>
      <c r="C523" s="298" t="str">
        <f>IF(LEN(A523)=0,"",INDEX('Smelter Reference List'!$C:$C,MATCH($A523,'Smelter Reference List'!$E:$E,0)))</f>
        <v/>
      </c>
      <c r="D523" s="292" t="str">
        <f ca="1">IF(ISERROR($S523),"",OFFSET('Smelter Reference List'!$C$4,$S523-4,0)&amp;"")</f>
        <v/>
      </c>
      <c r="E523" s="292" t="str">
        <f ca="1">IF(ISERROR($S523),"",OFFSET('Smelter Reference List'!$D$4,$S523-4,0)&amp;"")</f>
        <v/>
      </c>
      <c r="F523" s="292" t="str">
        <f ca="1">IF(ISERROR($S523),"",OFFSET('Smelter Reference List'!$E$4,$S523-4,0))</f>
        <v/>
      </c>
      <c r="G523" s="292" t="str">
        <f ca="1">IF(C523=$U$4,"Enter smelter details", IF(ISERROR($S523),"",OFFSET('Smelter Reference List'!$F$4,$S523-4,0)))</f>
        <v/>
      </c>
      <c r="H523" s="293" t="str">
        <f ca="1">IF(ISERROR($S523),"",OFFSET('Smelter Reference List'!$G$4,$S523-4,0))</f>
        <v/>
      </c>
      <c r="I523" s="294" t="str">
        <f ca="1">IF(ISERROR($S523),"",OFFSET('Smelter Reference List'!$H$4,$S523-4,0))</f>
        <v/>
      </c>
      <c r="J523" s="294" t="str">
        <f ca="1">IF(ISERROR($S523),"",OFFSET('Smelter Reference List'!$I$4,$S523-4,0))</f>
        <v/>
      </c>
      <c r="K523" s="295"/>
      <c r="L523" s="295"/>
      <c r="M523" s="295"/>
      <c r="N523" s="295"/>
      <c r="O523" s="295"/>
      <c r="P523" s="295"/>
      <c r="Q523" s="296"/>
      <c r="R523" s="227"/>
      <c r="S523" s="228" t="e">
        <f>IF(C523="",NA(),MATCH($B523&amp;$C523,'Smelter Reference List'!$J:$J,0))</f>
        <v>#N/A</v>
      </c>
      <c r="T523" s="229"/>
      <c r="U523" s="229">
        <f t="shared" ca="1" si="18"/>
        <v>0</v>
      </c>
      <c r="V523" s="229"/>
      <c r="W523" s="229"/>
      <c r="Y523" s="223" t="str">
        <f t="shared" si="19"/>
        <v/>
      </c>
    </row>
    <row r="524" spans="1:25" s="223" customFormat="1" ht="20.25">
      <c r="A524" s="291"/>
      <c r="B524" s="292" t="str">
        <f>IF(LEN(A524)=0,"",INDEX('Smelter Reference List'!$A:$A,MATCH($A524,'Smelter Reference List'!$E:$E,0)))</f>
        <v/>
      </c>
      <c r="C524" s="298" t="str">
        <f>IF(LEN(A524)=0,"",INDEX('Smelter Reference List'!$C:$C,MATCH($A524,'Smelter Reference List'!$E:$E,0)))</f>
        <v/>
      </c>
      <c r="D524" s="292" t="str">
        <f ca="1">IF(ISERROR($S524),"",OFFSET('Smelter Reference List'!$C$4,$S524-4,0)&amp;"")</f>
        <v/>
      </c>
      <c r="E524" s="292" t="str">
        <f ca="1">IF(ISERROR($S524),"",OFFSET('Smelter Reference List'!$D$4,$S524-4,0)&amp;"")</f>
        <v/>
      </c>
      <c r="F524" s="292" t="str">
        <f ca="1">IF(ISERROR($S524),"",OFFSET('Smelter Reference List'!$E$4,$S524-4,0))</f>
        <v/>
      </c>
      <c r="G524" s="292" t="str">
        <f ca="1">IF(C524=$U$4,"Enter smelter details", IF(ISERROR($S524),"",OFFSET('Smelter Reference List'!$F$4,$S524-4,0)))</f>
        <v/>
      </c>
      <c r="H524" s="293" t="str">
        <f ca="1">IF(ISERROR($S524),"",OFFSET('Smelter Reference List'!$G$4,$S524-4,0))</f>
        <v/>
      </c>
      <c r="I524" s="294" t="str">
        <f ca="1">IF(ISERROR($S524),"",OFFSET('Smelter Reference List'!$H$4,$S524-4,0))</f>
        <v/>
      </c>
      <c r="J524" s="294" t="str">
        <f ca="1">IF(ISERROR($S524),"",OFFSET('Smelter Reference List'!$I$4,$S524-4,0))</f>
        <v/>
      </c>
      <c r="K524" s="295"/>
      <c r="L524" s="295"/>
      <c r="M524" s="295"/>
      <c r="N524" s="295"/>
      <c r="O524" s="295"/>
      <c r="P524" s="295"/>
      <c r="Q524" s="296"/>
      <c r="R524" s="227"/>
      <c r="S524" s="228" t="e">
        <f>IF(C524="",NA(),MATCH($B524&amp;$C524,'Smelter Reference List'!$J:$J,0))</f>
        <v>#N/A</v>
      </c>
      <c r="T524" s="229"/>
      <c r="U524" s="229">
        <f t="shared" ca="1" si="18"/>
        <v>0</v>
      </c>
      <c r="V524" s="229"/>
      <c r="W524" s="229"/>
      <c r="Y524" s="223" t="str">
        <f t="shared" si="19"/>
        <v/>
      </c>
    </row>
    <row r="525" spans="1:25" s="223" customFormat="1" ht="20.25">
      <c r="A525" s="291"/>
      <c r="B525" s="292" t="str">
        <f>IF(LEN(A525)=0,"",INDEX('Smelter Reference List'!$A:$A,MATCH($A525,'Smelter Reference List'!$E:$E,0)))</f>
        <v/>
      </c>
      <c r="C525" s="298" t="str">
        <f>IF(LEN(A525)=0,"",INDEX('Smelter Reference List'!$C:$C,MATCH($A525,'Smelter Reference List'!$E:$E,0)))</f>
        <v/>
      </c>
      <c r="D525" s="292" t="str">
        <f ca="1">IF(ISERROR($S525),"",OFFSET('Smelter Reference List'!$C$4,$S525-4,0)&amp;"")</f>
        <v/>
      </c>
      <c r="E525" s="292" t="str">
        <f ca="1">IF(ISERROR($S525),"",OFFSET('Smelter Reference List'!$D$4,$S525-4,0)&amp;"")</f>
        <v/>
      </c>
      <c r="F525" s="292" t="str">
        <f ca="1">IF(ISERROR($S525),"",OFFSET('Smelter Reference List'!$E$4,$S525-4,0))</f>
        <v/>
      </c>
      <c r="G525" s="292" t="str">
        <f ca="1">IF(C525=$U$4,"Enter smelter details", IF(ISERROR($S525),"",OFFSET('Smelter Reference List'!$F$4,$S525-4,0)))</f>
        <v/>
      </c>
      <c r="H525" s="293" t="str">
        <f ca="1">IF(ISERROR($S525),"",OFFSET('Smelter Reference List'!$G$4,$S525-4,0))</f>
        <v/>
      </c>
      <c r="I525" s="294" t="str">
        <f ca="1">IF(ISERROR($S525),"",OFFSET('Smelter Reference List'!$H$4,$S525-4,0))</f>
        <v/>
      </c>
      <c r="J525" s="294" t="str">
        <f ca="1">IF(ISERROR($S525),"",OFFSET('Smelter Reference List'!$I$4,$S525-4,0))</f>
        <v/>
      </c>
      <c r="K525" s="295"/>
      <c r="L525" s="295"/>
      <c r="M525" s="295"/>
      <c r="N525" s="295"/>
      <c r="O525" s="295"/>
      <c r="P525" s="295"/>
      <c r="Q525" s="296"/>
      <c r="R525" s="227"/>
      <c r="S525" s="228" t="e">
        <f>IF(C525="",NA(),MATCH($B525&amp;$C525,'Smelter Reference List'!$J:$J,0))</f>
        <v>#N/A</v>
      </c>
      <c r="T525" s="229"/>
      <c r="U525" s="229">
        <f t="shared" ca="1" si="18"/>
        <v>0</v>
      </c>
      <c r="V525" s="229"/>
      <c r="W525" s="229"/>
      <c r="Y525" s="223" t="str">
        <f t="shared" si="19"/>
        <v/>
      </c>
    </row>
    <row r="526" spans="1:25" s="223" customFormat="1" ht="20.25">
      <c r="A526" s="291"/>
      <c r="B526" s="292" t="str">
        <f>IF(LEN(A526)=0,"",INDEX('Smelter Reference List'!$A:$A,MATCH($A526,'Smelter Reference List'!$E:$E,0)))</f>
        <v/>
      </c>
      <c r="C526" s="298" t="str">
        <f>IF(LEN(A526)=0,"",INDEX('Smelter Reference List'!$C:$C,MATCH($A526,'Smelter Reference List'!$E:$E,0)))</f>
        <v/>
      </c>
      <c r="D526" s="292" t="str">
        <f ca="1">IF(ISERROR($S526),"",OFFSET('Smelter Reference List'!$C$4,$S526-4,0)&amp;"")</f>
        <v/>
      </c>
      <c r="E526" s="292" t="str">
        <f ca="1">IF(ISERROR($S526),"",OFFSET('Smelter Reference List'!$D$4,$S526-4,0)&amp;"")</f>
        <v/>
      </c>
      <c r="F526" s="292" t="str">
        <f ca="1">IF(ISERROR($S526),"",OFFSET('Smelter Reference List'!$E$4,$S526-4,0))</f>
        <v/>
      </c>
      <c r="G526" s="292" t="str">
        <f ca="1">IF(C526=$U$4,"Enter smelter details", IF(ISERROR($S526),"",OFFSET('Smelter Reference List'!$F$4,$S526-4,0)))</f>
        <v/>
      </c>
      <c r="H526" s="293" t="str">
        <f ca="1">IF(ISERROR($S526),"",OFFSET('Smelter Reference List'!$G$4,$S526-4,0))</f>
        <v/>
      </c>
      <c r="I526" s="294" t="str">
        <f ca="1">IF(ISERROR($S526),"",OFFSET('Smelter Reference List'!$H$4,$S526-4,0))</f>
        <v/>
      </c>
      <c r="J526" s="294" t="str">
        <f ca="1">IF(ISERROR($S526),"",OFFSET('Smelter Reference List'!$I$4,$S526-4,0))</f>
        <v/>
      </c>
      <c r="K526" s="295"/>
      <c r="L526" s="295"/>
      <c r="M526" s="295"/>
      <c r="N526" s="295"/>
      <c r="O526" s="295"/>
      <c r="P526" s="295"/>
      <c r="Q526" s="296"/>
      <c r="R526" s="227"/>
      <c r="S526" s="228" t="e">
        <f>IF(C526="",NA(),MATCH($B526&amp;$C526,'Smelter Reference List'!$J:$J,0))</f>
        <v>#N/A</v>
      </c>
      <c r="T526" s="229"/>
      <c r="U526" s="229">
        <f t="shared" ca="1" si="18"/>
        <v>0</v>
      </c>
      <c r="V526" s="229"/>
      <c r="W526" s="229"/>
      <c r="Y526" s="223" t="str">
        <f t="shared" si="19"/>
        <v/>
      </c>
    </row>
    <row r="527" spans="1:25" s="223" customFormat="1" ht="20.25">
      <c r="A527" s="291"/>
      <c r="B527" s="292" t="str">
        <f>IF(LEN(A527)=0,"",INDEX('Smelter Reference List'!$A:$A,MATCH($A527,'Smelter Reference List'!$E:$E,0)))</f>
        <v/>
      </c>
      <c r="C527" s="298" t="str">
        <f>IF(LEN(A527)=0,"",INDEX('Smelter Reference List'!$C:$C,MATCH($A527,'Smelter Reference List'!$E:$E,0)))</f>
        <v/>
      </c>
      <c r="D527" s="292" t="str">
        <f ca="1">IF(ISERROR($S527),"",OFFSET('Smelter Reference List'!$C$4,$S527-4,0)&amp;"")</f>
        <v/>
      </c>
      <c r="E527" s="292" t="str">
        <f ca="1">IF(ISERROR($S527),"",OFFSET('Smelter Reference List'!$D$4,$S527-4,0)&amp;"")</f>
        <v/>
      </c>
      <c r="F527" s="292" t="str">
        <f ca="1">IF(ISERROR($S527),"",OFFSET('Smelter Reference List'!$E$4,$S527-4,0))</f>
        <v/>
      </c>
      <c r="G527" s="292" t="str">
        <f ca="1">IF(C527=$U$4,"Enter smelter details", IF(ISERROR($S527),"",OFFSET('Smelter Reference List'!$F$4,$S527-4,0)))</f>
        <v/>
      </c>
      <c r="H527" s="293" t="str">
        <f ca="1">IF(ISERROR($S527),"",OFFSET('Smelter Reference List'!$G$4,$S527-4,0))</f>
        <v/>
      </c>
      <c r="I527" s="294" t="str">
        <f ca="1">IF(ISERROR($S527),"",OFFSET('Smelter Reference List'!$H$4,$S527-4,0))</f>
        <v/>
      </c>
      <c r="J527" s="294" t="str">
        <f ca="1">IF(ISERROR($S527),"",OFFSET('Smelter Reference List'!$I$4,$S527-4,0))</f>
        <v/>
      </c>
      <c r="K527" s="295"/>
      <c r="L527" s="295"/>
      <c r="M527" s="295"/>
      <c r="N527" s="295"/>
      <c r="O527" s="295"/>
      <c r="P527" s="295"/>
      <c r="Q527" s="296"/>
      <c r="R527" s="227"/>
      <c r="S527" s="228" t="e">
        <f>IF(C527="",NA(),MATCH($B527&amp;$C527,'Smelter Reference List'!$J:$J,0))</f>
        <v>#N/A</v>
      </c>
      <c r="T527" s="229"/>
      <c r="U527" s="229">
        <f t="shared" ca="1" si="18"/>
        <v>0</v>
      </c>
      <c r="V527" s="229"/>
      <c r="W527" s="229"/>
      <c r="Y527" s="223" t="str">
        <f t="shared" si="19"/>
        <v/>
      </c>
    </row>
    <row r="528" spans="1:25" s="223" customFormat="1" ht="20.25">
      <c r="A528" s="291"/>
      <c r="B528" s="292" t="str">
        <f>IF(LEN(A528)=0,"",INDEX('Smelter Reference List'!$A:$A,MATCH($A528,'Smelter Reference List'!$E:$E,0)))</f>
        <v/>
      </c>
      <c r="C528" s="298" t="str">
        <f>IF(LEN(A528)=0,"",INDEX('Smelter Reference List'!$C:$C,MATCH($A528,'Smelter Reference List'!$E:$E,0)))</f>
        <v/>
      </c>
      <c r="D528" s="292" t="str">
        <f ca="1">IF(ISERROR($S528),"",OFFSET('Smelter Reference List'!$C$4,$S528-4,0)&amp;"")</f>
        <v/>
      </c>
      <c r="E528" s="292" t="str">
        <f ca="1">IF(ISERROR($S528),"",OFFSET('Smelter Reference List'!$D$4,$S528-4,0)&amp;"")</f>
        <v/>
      </c>
      <c r="F528" s="292" t="str">
        <f ca="1">IF(ISERROR($S528),"",OFFSET('Smelter Reference List'!$E$4,$S528-4,0))</f>
        <v/>
      </c>
      <c r="G528" s="292" t="str">
        <f ca="1">IF(C528=$U$4,"Enter smelter details", IF(ISERROR($S528),"",OFFSET('Smelter Reference List'!$F$4,$S528-4,0)))</f>
        <v/>
      </c>
      <c r="H528" s="293" t="str">
        <f ca="1">IF(ISERROR($S528),"",OFFSET('Smelter Reference List'!$G$4,$S528-4,0))</f>
        <v/>
      </c>
      <c r="I528" s="294" t="str">
        <f ca="1">IF(ISERROR($S528),"",OFFSET('Smelter Reference List'!$H$4,$S528-4,0))</f>
        <v/>
      </c>
      <c r="J528" s="294" t="str">
        <f ca="1">IF(ISERROR($S528),"",OFFSET('Smelter Reference List'!$I$4,$S528-4,0))</f>
        <v/>
      </c>
      <c r="K528" s="295"/>
      <c r="L528" s="295"/>
      <c r="M528" s="295"/>
      <c r="N528" s="295"/>
      <c r="O528" s="295"/>
      <c r="P528" s="295"/>
      <c r="Q528" s="296"/>
      <c r="R528" s="227"/>
      <c r="S528" s="228" t="e">
        <f>IF(C528="",NA(),MATCH($B528&amp;$C528,'Smelter Reference List'!$J:$J,0))</f>
        <v>#N/A</v>
      </c>
      <c r="T528" s="229"/>
      <c r="U528" s="229">
        <f t="shared" ca="1" si="18"/>
        <v>0</v>
      </c>
      <c r="V528" s="229"/>
      <c r="W528" s="229"/>
      <c r="Y528" s="223" t="str">
        <f t="shared" si="19"/>
        <v/>
      </c>
    </row>
    <row r="529" spans="1:25" s="223" customFormat="1" ht="20.25">
      <c r="A529" s="291"/>
      <c r="B529" s="292" t="str">
        <f>IF(LEN(A529)=0,"",INDEX('Smelter Reference List'!$A:$A,MATCH($A529,'Smelter Reference List'!$E:$E,0)))</f>
        <v/>
      </c>
      <c r="C529" s="298" t="str">
        <f>IF(LEN(A529)=0,"",INDEX('Smelter Reference List'!$C:$C,MATCH($A529,'Smelter Reference List'!$E:$E,0)))</f>
        <v/>
      </c>
      <c r="D529" s="292" t="str">
        <f ca="1">IF(ISERROR($S529),"",OFFSET('Smelter Reference List'!$C$4,$S529-4,0)&amp;"")</f>
        <v/>
      </c>
      <c r="E529" s="292" t="str">
        <f ca="1">IF(ISERROR($S529),"",OFFSET('Smelter Reference List'!$D$4,$S529-4,0)&amp;"")</f>
        <v/>
      </c>
      <c r="F529" s="292" t="str">
        <f ca="1">IF(ISERROR($S529),"",OFFSET('Smelter Reference List'!$E$4,$S529-4,0))</f>
        <v/>
      </c>
      <c r="G529" s="292" t="str">
        <f ca="1">IF(C529=$U$4,"Enter smelter details", IF(ISERROR($S529),"",OFFSET('Smelter Reference List'!$F$4,$S529-4,0)))</f>
        <v/>
      </c>
      <c r="H529" s="293" t="str">
        <f ca="1">IF(ISERROR($S529),"",OFFSET('Smelter Reference List'!$G$4,$S529-4,0))</f>
        <v/>
      </c>
      <c r="I529" s="294" t="str">
        <f ca="1">IF(ISERROR($S529),"",OFFSET('Smelter Reference List'!$H$4,$S529-4,0))</f>
        <v/>
      </c>
      <c r="J529" s="294" t="str">
        <f ca="1">IF(ISERROR($S529),"",OFFSET('Smelter Reference List'!$I$4,$S529-4,0))</f>
        <v/>
      </c>
      <c r="K529" s="295"/>
      <c r="L529" s="295"/>
      <c r="M529" s="295"/>
      <c r="N529" s="295"/>
      <c r="O529" s="295"/>
      <c r="P529" s="295"/>
      <c r="Q529" s="296"/>
      <c r="R529" s="227"/>
      <c r="S529" s="228" t="e">
        <f>IF(C529="",NA(),MATCH($B529&amp;$C529,'Smelter Reference List'!$J:$J,0))</f>
        <v>#N/A</v>
      </c>
      <c r="T529" s="229"/>
      <c r="U529" s="229">
        <f t="shared" ca="1" si="18"/>
        <v>0</v>
      </c>
      <c r="V529" s="229"/>
      <c r="W529" s="229"/>
      <c r="Y529" s="223" t="str">
        <f t="shared" si="19"/>
        <v/>
      </c>
    </row>
    <row r="530" spans="1:25" s="223" customFormat="1" ht="20.25">
      <c r="A530" s="291"/>
      <c r="B530" s="292" t="str">
        <f>IF(LEN(A530)=0,"",INDEX('Smelter Reference List'!$A:$A,MATCH($A530,'Smelter Reference List'!$E:$E,0)))</f>
        <v/>
      </c>
      <c r="C530" s="298" t="str">
        <f>IF(LEN(A530)=0,"",INDEX('Smelter Reference List'!$C:$C,MATCH($A530,'Smelter Reference List'!$E:$E,0)))</f>
        <v/>
      </c>
      <c r="D530" s="292" t="str">
        <f ca="1">IF(ISERROR($S530),"",OFFSET('Smelter Reference List'!$C$4,$S530-4,0)&amp;"")</f>
        <v/>
      </c>
      <c r="E530" s="292" t="str">
        <f ca="1">IF(ISERROR($S530),"",OFFSET('Smelter Reference List'!$D$4,$S530-4,0)&amp;"")</f>
        <v/>
      </c>
      <c r="F530" s="292" t="str">
        <f ca="1">IF(ISERROR($S530),"",OFFSET('Smelter Reference List'!$E$4,$S530-4,0))</f>
        <v/>
      </c>
      <c r="G530" s="292" t="str">
        <f ca="1">IF(C530=$U$4,"Enter smelter details", IF(ISERROR($S530),"",OFFSET('Smelter Reference List'!$F$4,$S530-4,0)))</f>
        <v/>
      </c>
      <c r="H530" s="293" t="str">
        <f ca="1">IF(ISERROR($S530),"",OFFSET('Smelter Reference List'!$G$4,$S530-4,0))</f>
        <v/>
      </c>
      <c r="I530" s="294" t="str">
        <f ca="1">IF(ISERROR($S530),"",OFFSET('Smelter Reference List'!$H$4,$S530-4,0))</f>
        <v/>
      </c>
      <c r="J530" s="294" t="str">
        <f ca="1">IF(ISERROR($S530),"",OFFSET('Smelter Reference List'!$I$4,$S530-4,0))</f>
        <v/>
      </c>
      <c r="K530" s="295"/>
      <c r="L530" s="295"/>
      <c r="M530" s="295"/>
      <c r="N530" s="295"/>
      <c r="O530" s="295"/>
      <c r="P530" s="295"/>
      <c r="Q530" s="296"/>
      <c r="R530" s="227"/>
      <c r="S530" s="228" t="e">
        <f>IF(C530="",NA(),MATCH($B530&amp;$C530,'Smelter Reference List'!$J:$J,0))</f>
        <v>#N/A</v>
      </c>
      <c r="T530" s="229"/>
      <c r="U530" s="229">
        <f t="shared" ca="1" si="18"/>
        <v>0</v>
      </c>
      <c r="V530" s="229"/>
      <c r="W530" s="229"/>
      <c r="Y530" s="223" t="str">
        <f t="shared" si="19"/>
        <v/>
      </c>
    </row>
    <row r="531" spans="1:25" s="223" customFormat="1" ht="20.25">
      <c r="A531" s="291"/>
      <c r="B531" s="292" t="str">
        <f>IF(LEN(A531)=0,"",INDEX('Smelter Reference List'!$A:$A,MATCH($A531,'Smelter Reference List'!$E:$E,0)))</f>
        <v/>
      </c>
      <c r="C531" s="298" t="str">
        <f>IF(LEN(A531)=0,"",INDEX('Smelter Reference List'!$C:$C,MATCH($A531,'Smelter Reference List'!$E:$E,0)))</f>
        <v/>
      </c>
      <c r="D531" s="292" t="str">
        <f ca="1">IF(ISERROR($S531),"",OFFSET('Smelter Reference List'!$C$4,$S531-4,0)&amp;"")</f>
        <v/>
      </c>
      <c r="E531" s="292" t="str">
        <f ca="1">IF(ISERROR($S531),"",OFFSET('Smelter Reference List'!$D$4,$S531-4,0)&amp;"")</f>
        <v/>
      </c>
      <c r="F531" s="292" t="str">
        <f ca="1">IF(ISERROR($S531),"",OFFSET('Smelter Reference List'!$E$4,$S531-4,0))</f>
        <v/>
      </c>
      <c r="G531" s="292" t="str">
        <f ca="1">IF(C531=$U$4,"Enter smelter details", IF(ISERROR($S531),"",OFFSET('Smelter Reference List'!$F$4,$S531-4,0)))</f>
        <v/>
      </c>
      <c r="H531" s="293" t="str">
        <f ca="1">IF(ISERROR($S531),"",OFFSET('Smelter Reference List'!$G$4,$S531-4,0))</f>
        <v/>
      </c>
      <c r="I531" s="294" t="str">
        <f ca="1">IF(ISERROR($S531),"",OFFSET('Smelter Reference List'!$H$4,$S531-4,0))</f>
        <v/>
      </c>
      <c r="J531" s="294" t="str">
        <f ca="1">IF(ISERROR($S531),"",OFFSET('Smelter Reference List'!$I$4,$S531-4,0))</f>
        <v/>
      </c>
      <c r="K531" s="295"/>
      <c r="L531" s="295"/>
      <c r="M531" s="295"/>
      <c r="N531" s="295"/>
      <c r="O531" s="295"/>
      <c r="P531" s="295"/>
      <c r="Q531" s="296"/>
      <c r="R531" s="227"/>
      <c r="S531" s="228" t="e">
        <f>IF(C531="",NA(),MATCH($B531&amp;$C531,'Smelter Reference List'!$J:$J,0))</f>
        <v>#N/A</v>
      </c>
      <c r="T531" s="229"/>
      <c r="U531" s="229">
        <f t="shared" ca="1" si="18"/>
        <v>0</v>
      </c>
      <c r="V531" s="229"/>
      <c r="W531" s="229"/>
      <c r="Y531" s="223" t="str">
        <f t="shared" si="19"/>
        <v/>
      </c>
    </row>
    <row r="532" spans="1:25" s="223" customFormat="1" ht="20.25">
      <c r="A532" s="291"/>
      <c r="B532" s="292" t="str">
        <f>IF(LEN(A532)=0,"",INDEX('Smelter Reference List'!$A:$A,MATCH($A532,'Smelter Reference List'!$E:$E,0)))</f>
        <v/>
      </c>
      <c r="C532" s="298" t="str">
        <f>IF(LEN(A532)=0,"",INDEX('Smelter Reference List'!$C:$C,MATCH($A532,'Smelter Reference List'!$E:$E,0)))</f>
        <v/>
      </c>
      <c r="D532" s="292" t="str">
        <f ca="1">IF(ISERROR($S532),"",OFFSET('Smelter Reference List'!$C$4,$S532-4,0)&amp;"")</f>
        <v/>
      </c>
      <c r="E532" s="292" t="str">
        <f ca="1">IF(ISERROR($S532),"",OFFSET('Smelter Reference List'!$D$4,$S532-4,0)&amp;"")</f>
        <v/>
      </c>
      <c r="F532" s="292" t="str">
        <f ca="1">IF(ISERROR($S532),"",OFFSET('Smelter Reference List'!$E$4,$S532-4,0))</f>
        <v/>
      </c>
      <c r="G532" s="292" t="str">
        <f ca="1">IF(C532=$U$4,"Enter smelter details", IF(ISERROR($S532),"",OFFSET('Smelter Reference List'!$F$4,$S532-4,0)))</f>
        <v/>
      </c>
      <c r="H532" s="293" t="str">
        <f ca="1">IF(ISERROR($S532),"",OFFSET('Smelter Reference List'!$G$4,$S532-4,0))</f>
        <v/>
      </c>
      <c r="I532" s="294" t="str">
        <f ca="1">IF(ISERROR($S532),"",OFFSET('Smelter Reference List'!$H$4,$S532-4,0))</f>
        <v/>
      </c>
      <c r="J532" s="294" t="str">
        <f ca="1">IF(ISERROR($S532),"",OFFSET('Smelter Reference List'!$I$4,$S532-4,0))</f>
        <v/>
      </c>
      <c r="K532" s="295"/>
      <c r="L532" s="295"/>
      <c r="M532" s="295"/>
      <c r="N532" s="295"/>
      <c r="O532" s="295"/>
      <c r="P532" s="295"/>
      <c r="Q532" s="296"/>
      <c r="R532" s="227"/>
      <c r="S532" s="228" t="e">
        <f>IF(C532="",NA(),MATCH($B532&amp;$C532,'Smelter Reference List'!$J:$J,0))</f>
        <v>#N/A</v>
      </c>
      <c r="T532" s="229"/>
      <c r="U532" s="229">
        <f t="shared" ca="1" si="18"/>
        <v>0</v>
      </c>
      <c r="V532" s="229"/>
      <c r="W532" s="229"/>
      <c r="Y532" s="223" t="str">
        <f t="shared" si="19"/>
        <v/>
      </c>
    </row>
    <row r="533" spans="1:25" s="223" customFormat="1" ht="20.25">
      <c r="A533" s="291"/>
      <c r="B533" s="292" t="str">
        <f>IF(LEN(A533)=0,"",INDEX('Smelter Reference List'!$A:$A,MATCH($A533,'Smelter Reference List'!$E:$E,0)))</f>
        <v/>
      </c>
      <c r="C533" s="298" t="str">
        <f>IF(LEN(A533)=0,"",INDEX('Smelter Reference List'!$C:$C,MATCH($A533,'Smelter Reference List'!$E:$E,0)))</f>
        <v/>
      </c>
      <c r="D533" s="292" t="str">
        <f ca="1">IF(ISERROR($S533),"",OFFSET('Smelter Reference List'!$C$4,$S533-4,0)&amp;"")</f>
        <v/>
      </c>
      <c r="E533" s="292" t="str">
        <f ca="1">IF(ISERROR($S533),"",OFFSET('Smelter Reference List'!$D$4,$S533-4,0)&amp;"")</f>
        <v/>
      </c>
      <c r="F533" s="292" t="str">
        <f ca="1">IF(ISERROR($S533),"",OFFSET('Smelter Reference List'!$E$4,$S533-4,0))</f>
        <v/>
      </c>
      <c r="G533" s="292" t="str">
        <f ca="1">IF(C533=$U$4,"Enter smelter details", IF(ISERROR($S533),"",OFFSET('Smelter Reference List'!$F$4,$S533-4,0)))</f>
        <v/>
      </c>
      <c r="H533" s="293" t="str">
        <f ca="1">IF(ISERROR($S533),"",OFFSET('Smelter Reference List'!$G$4,$S533-4,0))</f>
        <v/>
      </c>
      <c r="I533" s="294" t="str">
        <f ca="1">IF(ISERROR($S533),"",OFFSET('Smelter Reference List'!$H$4,$S533-4,0))</f>
        <v/>
      </c>
      <c r="J533" s="294" t="str">
        <f ca="1">IF(ISERROR($S533),"",OFFSET('Smelter Reference List'!$I$4,$S533-4,0))</f>
        <v/>
      </c>
      <c r="K533" s="295"/>
      <c r="L533" s="295"/>
      <c r="M533" s="295"/>
      <c r="N533" s="295"/>
      <c r="O533" s="295"/>
      <c r="P533" s="295"/>
      <c r="Q533" s="296"/>
      <c r="R533" s="227"/>
      <c r="S533" s="228" t="e">
        <f>IF(C533="",NA(),MATCH($B533&amp;$C533,'Smelter Reference List'!$J:$J,0))</f>
        <v>#N/A</v>
      </c>
      <c r="T533" s="229"/>
      <c r="U533" s="229">
        <f t="shared" ca="1" si="18"/>
        <v>0</v>
      </c>
      <c r="V533" s="229"/>
      <c r="W533" s="229"/>
      <c r="Y533" s="223" t="str">
        <f t="shared" si="19"/>
        <v/>
      </c>
    </row>
    <row r="534" spans="1:25" s="223" customFormat="1" ht="20.25">
      <c r="A534" s="291"/>
      <c r="B534" s="292" t="str">
        <f>IF(LEN(A534)=0,"",INDEX('Smelter Reference List'!$A:$A,MATCH($A534,'Smelter Reference List'!$E:$E,0)))</f>
        <v/>
      </c>
      <c r="C534" s="298" t="str">
        <f>IF(LEN(A534)=0,"",INDEX('Smelter Reference List'!$C:$C,MATCH($A534,'Smelter Reference List'!$E:$E,0)))</f>
        <v/>
      </c>
      <c r="D534" s="292" t="str">
        <f ca="1">IF(ISERROR($S534),"",OFFSET('Smelter Reference List'!$C$4,$S534-4,0)&amp;"")</f>
        <v/>
      </c>
      <c r="E534" s="292" t="str">
        <f ca="1">IF(ISERROR($S534),"",OFFSET('Smelter Reference List'!$D$4,$S534-4,0)&amp;"")</f>
        <v/>
      </c>
      <c r="F534" s="292" t="str">
        <f ca="1">IF(ISERROR($S534),"",OFFSET('Smelter Reference List'!$E$4,$S534-4,0))</f>
        <v/>
      </c>
      <c r="G534" s="292" t="str">
        <f ca="1">IF(C534=$U$4,"Enter smelter details", IF(ISERROR($S534),"",OFFSET('Smelter Reference List'!$F$4,$S534-4,0)))</f>
        <v/>
      </c>
      <c r="H534" s="293" t="str">
        <f ca="1">IF(ISERROR($S534),"",OFFSET('Smelter Reference List'!$G$4,$S534-4,0))</f>
        <v/>
      </c>
      <c r="I534" s="294" t="str">
        <f ca="1">IF(ISERROR($S534),"",OFFSET('Smelter Reference List'!$H$4,$S534-4,0))</f>
        <v/>
      </c>
      <c r="J534" s="294" t="str">
        <f ca="1">IF(ISERROR($S534),"",OFFSET('Smelter Reference List'!$I$4,$S534-4,0))</f>
        <v/>
      </c>
      <c r="K534" s="295"/>
      <c r="L534" s="295"/>
      <c r="M534" s="295"/>
      <c r="N534" s="295"/>
      <c r="O534" s="295"/>
      <c r="P534" s="295"/>
      <c r="Q534" s="296"/>
      <c r="R534" s="227"/>
      <c r="S534" s="228" t="e">
        <f>IF(C534="",NA(),MATCH($B534&amp;$C534,'Smelter Reference List'!$J:$J,0))</f>
        <v>#N/A</v>
      </c>
      <c r="T534" s="229"/>
      <c r="U534" s="229">
        <f t="shared" ca="1" si="18"/>
        <v>0</v>
      </c>
      <c r="V534" s="229"/>
      <c r="W534" s="229"/>
      <c r="Y534" s="223" t="str">
        <f t="shared" si="19"/>
        <v/>
      </c>
    </row>
    <row r="535" spans="1:25" s="223" customFormat="1" ht="20.25">
      <c r="A535" s="291"/>
      <c r="B535" s="292" t="str">
        <f>IF(LEN(A535)=0,"",INDEX('Smelter Reference List'!$A:$A,MATCH($A535,'Smelter Reference List'!$E:$E,0)))</f>
        <v/>
      </c>
      <c r="C535" s="298" t="str">
        <f>IF(LEN(A535)=0,"",INDEX('Smelter Reference List'!$C:$C,MATCH($A535,'Smelter Reference List'!$E:$E,0)))</f>
        <v/>
      </c>
      <c r="D535" s="292" t="str">
        <f ca="1">IF(ISERROR($S535),"",OFFSET('Smelter Reference List'!$C$4,$S535-4,0)&amp;"")</f>
        <v/>
      </c>
      <c r="E535" s="292" t="str">
        <f ca="1">IF(ISERROR($S535),"",OFFSET('Smelter Reference List'!$D$4,$S535-4,0)&amp;"")</f>
        <v/>
      </c>
      <c r="F535" s="292" t="str">
        <f ca="1">IF(ISERROR($S535),"",OFFSET('Smelter Reference List'!$E$4,$S535-4,0))</f>
        <v/>
      </c>
      <c r="G535" s="292" t="str">
        <f ca="1">IF(C535=$U$4,"Enter smelter details", IF(ISERROR($S535),"",OFFSET('Smelter Reference List'!$F$4,$S535-4,0)))</f>
        <v/>
      </c>
      <c r="H535" s="293" t="str">
        <f ca="1">IF(ISERROR($S535),"",OFFSET('Smelter Reference List'!$G$4,$S535-4,0))</f>
        <v/>
      </c>
      <c r="I535" s="294" t="str">
        <f ca="1">IF(ISERROR($S535),"",OFFSET('Smelter Reference List'!$H$4,$S535-4,0))</f>
        <v/>
      </c>
      <c r="J535" s="294" t="str">
        <f ca="1">IF(ISERROR($S535),"",OFFSET('Smelter Reference List'!$I$4,$S535-4,0))</f>
        <v/>
      </c>
      <c r="K535" s="295"/>
      <c r="L535" s="295"/>
      <c r="M535" s="295"/>
      <c r="N535" s="295"/>
      <c r="O535" s="295"/>
      <c r="P535" s="295"/>
      <c r="Q535" s="296"/>
      <c r="R535" s="227"/>
      <c r="S535" s="228" t="e">
        <f>IF(C535="",NA(),MATCH($B535&amp;$C535,'Smelter Reference List'!$J:$J,0))</f>
        <v>#N/A</v>
      </c>
      <c r="T535" s="229"/>
      <c r="U535" s="229">
        <f t="shared" ca="1" si="18"/>
        <v>0</v>
      </c>
      <c r="V535" s="229"/>
      <c r="W535" s="229"/>
      <c r="Y535" s="223" t="str">
        <f t="shared" si="19"/>
        <v/>
      </c>
    </row>
    <row r="536" spans="1:25" s="223" customFormat="1" ht="20.25">
      <c r="A536" s="291"/>
      <c r="B536" s="292" t="str">
        <f>IF(LEN(A536)=0,"",INDEX('Smelter Reference List'!$A:$A,MATCH($A536,'Smelter Reference List'!$E:$E,0)))</f>
        <v/>
      </c>
      <c r="C536" s="298" t="str">
        <f>IF(LEN(A536)=0,"",INDEX('Smelter Reference List'!$C:$C,MATCH($A536,'Smelter Reference List'!$E:$E,0)))</f>
        <v/>
      </c>
      <c r="D536" s="292" t="str">
        <f ca="1">IF(ISERROR($S536),"",OFFSET('Smelter Reference List'!$C$4,$S536-4,0)&amp;"")</f>
        <v/>
      </c>
      <c r="E536" s="292" t="str">
        <f ca="1">IF(ISERROR($S536),"",OFFSET('Smelter Reference List'!$D$4,$S536-4,0)&amp;"")</f>
        <v/>
      </c>
      <c r="F536" s="292" t="str">
        <f ca="1">IF(ISERROR($S536),"",OFFSET('Smelter Reference List'!$E$4,$S536-4,0))</f>
        <v/>
      </c>
      <c r="G536" s="292" t="str">
        <f ca="1">IF(C536=$U$4,"Enter smelter details", IF(ISERROR($S536),"",OFFSET('Smelter Reference List'!$F$4,$S536-4,0)))</f>
        <v/>
      </c>
      <c r="H536" s="293" t="str">
        <f ca="1">IF(ISERROR($S536),"",OFFSET('Smelter Reference List'!$G$4,$S536-4,0))</f>
        <v/>
      </c>
      <c r="I536" s="294" t="str">
        <f ca="1">IF(ISERROR($S536),"",OFFSET('Smelter Reference List'!$H$4,$S536-4,0))</f>
        <v/>
      </c>
      <c r="J536" s="294" t="str">
        <f ca="1">IF(ISERROR($S536),"",OFFSET('Smelter Reference List'!$I$4,$S536-4,0))</f>
        <v/>
      </c>
      <c r="K536" s="295"/>
      <c r="L536" s="295"/>
      <c r="M536" s="295"/>
      <c r="N536" s="295"/>
      <c r="O536" s="295"/>
      <c r="P536" s="295"/>
      <c r="Q536" s="296"/>
      <c r="R536" s="227"/>
      <c r="S536" s="228" t="e">
        <f>IF(C536="",NA(),MATCH($B536&amp;$C536,'Smelter Reference List'!$J:$J,0))</f>
        <v>#N/A</v>
      </c>
      <c r="T536" s="229"/>
      <c r="U536" s="229">
        <f t="shared" ca="1" si="18"/>
        <v>0</v>
      </c>
      <c r="V536" s="229"/>
      <c r="W536" s="229"/>
      <c r="Y536" s="223" t="str">
        <f t="shared" si="19"/>
        <v/>
      </c>
    </row>
    <row r="537" spans="1:25" s="223" customFormat="1" ht="20.25">
      <c r="A537" s="291"/>
      <c r="B537" s="292" t="str">
        <f>IF(LEN(A537)=0,"",INDEX('Smelter Reference List'!$A:$A,MATCH($A537,'Smelter Reference List'!$E:$E,0)))</f>
        <v/>
      </c>
      <c r="C537" s="298" t="str">
        <f>IF(LEN(A537)=0,"",INDEX('Smelter Reference List'!$C:$C,MATCH($A537,'Smelter Reference List'!$E:$E,0)))</f>
        <v/>
      </c>
      <c r="D537" s="292" t="str">
        <f ca="1">IF(ISERROR($S537),"",OFFSET('Smelter Reference List'!$C$4,$S537-4,0)&amp;"")</f>
        <v/>
      </c>
      <c r="E537" s="292" t="str">
        <f ca="1">IF(ISERROR($S537),"",OFFSET('Smelter Reference List'!$D$4,$S537-4,0)&amp;"")</f>
        <v/>
      </c>
      <c r="F537" s="292" t="str">
        <f ca="1">IF(ISERROR($S537),"",OFFSET('Smelter Reference List'!$E$4,$S537-4,0))</f>
        <v/>
      </c>
      <c r="G537" s="292" t="str">
        <f ca="1">IF(C537=$U$4,"Enter smelter details", IF(ISERROR($S537),"",OFFSET('Smelter Reference List'!$F$4,$S537-4,0)))</f>
        <v/>
      </c>
      <c r="H537" s="293" t="str">
        <f ca="1">IF(ISERROR($S537),"",OFFSET('Smelter Reference List'!$G$4,$S537-4,0))</f>
        <v/>
      </c>
      <c r="I537" s="294" t="str">
        <f ca="1">IF(ISERROR($S537),"",OFFSET('Smelter Reference List'!$H$4,$S537-4,0))</f>
        <v/>
      </c>
      <c r="J537" s="294" t="str">
        <f ca="1">IF(ISERROR($S537),"",OFFSET('Smelter Reference List'!$I$4,$S537-4,0))</f>
        <v/>
      </c>
      <c r="K537" s="295"/>
      <c r="L537" s="295"/>
      <c r="M537" s="295"/>
      <c r="N537" s="295"/>
      <c r="O537" s="295"/>
      <c r="P537" s="295"/>
      <c r="Q537" s="296"/>
      <c r="R537" s="227"/>
      <c r="S537" s="228" t="e">
        <f>IF(C537="",NA(),MATCH($B537&amp;$C537,'Smelter Reference List'!$J:$J,0))</f>
        <v>#N/A</v>
      </c>
      <c r="T537" s="229"/>
      <c r="U537" s="229">
        <f t="shared" ca="1" si="18"/>
        <v>0</v>
      </c>
      <c r="V537" s="229"/>
      <c r="W537" s="229"/>
      <c r="Y537" s="223" t="str">
        <f t="shared" si="19"/>
        <v/>
      </c>
    </row>
    <row r="538" spans="1:25" s="223" customFormat="1" ht="20.25">
      <c r="A538" s="291"/>
      <c r="B538" s="292" t="str">
        <f>IF(LEN(A538)=0,"",INDEX('Smelter Reference List'!$A:$A,MATCH($A538,'Smelter Reference List'!$E:$E,0)))</f>
        <v/>
      </c>
      <c r="C538" s="298" t="str">
        <f>IF(LEN(A538)=0,"",INDEX('Smelter Reference List'!$C:$C,MATCH($A538,'Smelter Reference List'!$E:$E,0)))</f>
        <v/>
      </c>
      <c r="D538" s="292" t="str">
        <f ca="1">IF(ISERROR($S538),"",OFFSET('Smelter Reference List'!$C$4,$S538-4,0)&amp;"")</f>
        <v/>
      </c>
      <c r="E538" s="292" t="str">
        <f ca="1">IF(ISERROR($S538),"",OFFSET('Smelter Reference List'!$D$4,$S538-4,0)&amp;"")</f>
        <v/>
      </c>
      <c r="F538" s="292" t="str">
        <f ca="1">IF(ISERROR($S538),"",OFFSET('Smelter Reference List'!$E$4,$S538-4,0))</f>
        <v/>
      </c>
      <c r="G538" s="292" t="str">
        <f ca="1">IF(C538=$U$4,"Enter smelter details", IF(ISERROR($S538),"",OFFSET('Smelter Reference List'!$F$4,$S538-4,0)))</f>
        <v/>
      </c>
      <c r="H538" s="293" t="str">
        <f ca="1">IF(ISERROR($S538),"",OFFSET('Smelter Reference List'!$G$4,$S538-4,0))</f>
        <v/>
      </c>
      <c r="I538" s="294" t="str">
        <f ca="1">IF(ISERROR($S538),"",OFFSET('Smelter Reference List'!$H$4,$S538-4,0))</f>
        <v/>
      </c>
      <c r="J538" s="294" t="str">
        <f ca="1">IF(ISERROR($S538),"",OFFSET('Smelter Reference List'!$I$4,$S538-4,0))</f>
        <v/>
      </c>
      <c r="K538" s="295"/>
      <c r="L538" s="295"/>
      <c r="M538" s="295"/>
      <c r="N538" s="295"/>
      <c r="O538" s="295"/>
      <c r="P538" s="295"/>
      <c r="Q538" s="296"/>
      <c r="R538" s="227"/>
      <c r="S538" s="228" t="e">
        <f>IF(C538="",NA(),MATCH($B538&amp;$C538,'Smelter Reference List'!$J:$J,0))</f>
        <v>#N/A</v>
      </c>
      <c r="T538" s="229"/>
      <c r="U538" s="229">
        <f t="shared" ca="1" si="18"/>
        <v>0</v>
      </c>
      <c r="V538" s="229"/>
      <c r="W538" s="229"/>
      <c r="Y538" s="223" t="str">
        <f t="shared" si="19"/>
        <v/>
      </c>
    </row>
    <row r="539" spans="1:25" s="223" customFormat="1" ht="20.25">
      <c r="A539" s="291"/>
      <c r="B539" s="292" t="str">
        <f>IF(LEN(A539)=0,"",INDEX('Smelter Reference List'!$A:$A,MATCH($A539,'Smelter Reference List'!$E:$E,0)))</f>
        <v/>
      </c>
      <c r="C539" s="298" t="str">
        <f>IF(LEN(A539)=0,"",INDEX('Smelter Reference List'!$C:$C,MATCH($A539,'Smelter Reference List'!$E:$E,0)))</f>
        <v/>
      </c>
      <c r="D539" s="292" t="str">
        <f ca="1">IF(ISERROR($S539),"",OFFSET('Smelter Reference List'!$C$4,$S539-4,0)&amp;"")</f>
        <v/>
      </c>
      <c r="E539" s="292" t="str">
        <f ca="1">IF(ISERROR($S539),"",OFFSET('Smelter Reference List'!$D$4,$S539-4,0)&amp;"")</f>
        <v/>
      </c>
      <c r="F539" s="292" t="str">
        <f ca="1">IF(ISERROR($S539),"",OFFSET('Smelter Reference List'!$E$4,$S539-4,0))</f>
        <v/>
      </c>
      <c r="G539" s="292" t="str">
        <f ca="1">IF(C539=$U$4,"Enter smelter details", IF(ISERROR($S539),"",OFFSET('Smelter Reference List'!$F$4,$S539-4,0)))</f>
        <v/>
      </c>
      <c r="H539" s="293" t="str">
        <f ca="1">IF(ISERROR($S539),"",OFFSET('Smelter Reference List'!$G$4,$S539-4,0))</f>
        <v/>
      </c>
      <c r="I539" s="294" t="str">
        <f ca="1">IF(ISERROR($S539),"",OFFSET('Smelter Reference List'!$H$4,$S539-4,0))</f>
        <v/>
      </c>
      <c r="J539" s="294" t="str">
        <f ca="1">IF(ISERROR($S539),"",OFFSET('Smelter Reference List'!$I$4,$S539-4,0))</f>
        <v/>
      </c>
      <c r="K539" s="295"/>
      <c r="L539" s="295"/>
      <c r="M539" s="295"/>
      <c r="N539" s="295"/>
      <c r="O539" s="295"/>
      <c r="P539" s="295"/>
      <c r="Q539" s="296"/>
      <c r="R539" s="227"/>
      <c r="S539" s="228" t="e">
        <f>IF(C539="",NA(),MATCH($B539&amp;$C539,'Smelter Reference List'!$J:$J,0))</f>
        <v>#N/A</v>
      </c>
      <c r="T539" s="229"/>
      <c r="U539" s="229">
        <f t="shared" ca="1" si="18"/>
        <v>0</v>
      </c>
      <c r="V539" s="229"/>
      <c r="W539" s="229"/>
      <c r="Y539" s="223" t="str">
        <f t="shared" si="19"/>
        <v/>
      </c>
    </row>
    <row r="540" spans="1:25" s="223" customFormat="1" ht="20.25">
      <c r="A540" s="291"/>
      <c r="B540" s="292" t="str">
        <f>IF(LEN(A540)=0,"",INDEX('Smelter Reference List'!$A:$A,MATCH($A540,'Smelter Reference List'!$E:$E,0)))</f>
        <v/>
      </c>
      <c r="C540" s="298" t="str">
        <f>IF(LEN(A540)=0,"",INDEX('Smelter Reference List'!$C:$C,MATCH($A540,'Smelter Reference List'!$E:$E,0)))</f>
        <v/>
      </c>
      <c r="D540" s="292" t="str">
        <f ca="1">IF(ISERROR($S540),"",OFFSET('Smelter Reference List'!$C$4,$S540-4,0)&amp;"")</f>
        <v/>
      </c>
      <c r="E540" s="292" t="str">
        <f ca="1">IF(ISERROR($S540),"",OFFSET('Smelter Reference List'!$D$4,$S540-4,0)&amp;"")</f>
        <v/>
      </c>
      <c r="F540" s="292" t="str">
        <f ca="1">IF(ISERROR($S540),"",OFFSET('Smelter Reference List'!$E$4,$S540-4,0))</f>
        <v/>
      </c>
      <c r="G540" s="292" t="str">
        <f ca="1">IF(C540=$U$4,"Enter smelter details", IF(ISERROR($S540),"",OFFSET('Smelter Reference List'!$F$4,$S540-4,0)))</f>
        <v/>
      </c>
      <c r="H540" s="293" t="str">
        <f ca="1">IF(ISERROR($S540),"",OFFSET('Smelter Reference List'!$G$4,$S540-4,0))</f>
        <v/>
      </c>
      <c r="I540" s="294" t="str">
        <f ca="1">IF(ISERROR($S540),"",OFFSET('Smelter Reference List'!$H$4,$S540-4,0))</f>
        <v/>
      </c>
      <c r="J540" s="294" t="str">
        <f ca="1">IF(ISERROR($S540),"",OFFSET('Smelter Reference List'!$I$4,$S540-4,0))</f>
        <v/>
      </c>
      <c r="K540" s="295"/>
      <c r="L540" s="295"/>
      <c r="M540" s="295"/>
      <c r="N540" s="295"/>
      <c r="O540" s="295"/>
      <c r="P540" s="295"/>
      <c r="Q540" s="296"/>
      <c r="R540" s="227"/>
      <c r="S540" s="228" t="e">
        <f>IF(C540="",NA(),MATCH($B540&amp;$C540,'Smelter Reference List'!$J:$J,0))</f>
        <v>#N/A</v>
      </c>
      <c r="T540" s="229"/>
      <c r="U540" s="229">
        <f t="shared" ca="1" si="18"/>
        <v>0</v>
      </c>
      <c r="V540" s="229"/>
      <c r="W540" s="229"/>
      <c r="Y540" s="223" t="str">
        <f t="shared" si="19"/>
        <v/>
      </c>
    </row>
    <row r="541" spans="1:25" s="223" customFormat="1" ht="20.25">
      <c r="A541" s="291"/>
      <c r="B541" s="292" t="str">
        <f>IF(LEN(A541)=0,"",INDEX('Smelter Reference List'!$A:$A,MATCH($A541,'Smelter Reference List'!$E:$E,0)))</f>
        <v/>
      </c>
      <c r="C541" s="298" t="str">
        <f>IF(LEN(A541)=0,"",INDEX('Smelter Reference List'!$C:$C,MATCH($A541,'Smelter Reference List'!$E:$E,0)))</f>
        <v/>
      </c>
      <c r="D541" s="292" t="str">
        <f ca="1">IF(ISERROR($S541),"",OFFSET('Smelter Reference List'!$C$4,$S541-4,0)&amp;"")</f>
        <v/>
      </c>
      <c r="E541" s="292" t="str">
        <f ca="1">IF(ISERROR($S541),"",OFFSET('Smelter Reference List'!$D$4,$S541-4,0)&amp;"")</f>
        <v/>
      </c>
      <c r="F541" s="292" t="str">
        <f ca="1">IF(ISERROR($S541),"",OFFSET('Smelter Reference List'!$E$4,$S541-4,0))</f>
        <v/>
      </c>
      <c r="G541" s="292" t="str">
        <f ca="1">IF(C541=$U$4,"Enter smelter details", IF(ISERROR($S541),"",OFFSET('Smelter Reference List'!$F$4,$S541-4,0)))</f>
        <v/>
      </c>
      <c r="H541" s="293" t="str">
        <f ca="1">IF(ISERROR($S541),"",OFFSET('Smelter Reference List'!$G$4,$S541-4,0))</f>
        <v/>
      </c>
      <c r="I541" s="294" t="str">
        <f ca="1">IF(ISERROR($S541),"",OFFSET('Smelter Reference List'!$H$4,$S541-4,0))</f>
        <v/>
      </c>
      <c r="J541" s="294" t="str">
        <f ca="1">IF(ISERROR($S541),"",OFFSET('Smelter Reference List'!$I$4,$S541-4,0))</f>
        <v/>
      </c>
      <c r="K541" s="295"/>
      <c r="L541" s="295"/>
      <c r="M541" s="295"/>
      <c r="N541" s="295"/>
      <c r="O541" s="295"/>
      <c r="P541" s="295"/>
      <c r="Q541" s="296"/>
      <c r="R541" s="227"/>
      <c r="S541" s="228" t="e">
        <f>IF(C541="",NA(),MATCH($B541&amp;$C541,'Smelter Reference List'!$J:$J,0))</f>
        <v>#N/A</v>
      </c>
      <c r="T541" s="229"/>
      <c r="U541" s="229">
        <f t="shared" ca="1" si="18"/>
        <v>0</v>
      </c>
      <c r="V541" s="229"/>
      <c r="W541" s="229"/>
      <c r="Y541" s="223" t="str">
        <f t="shared" si="19"/>
        <v/>
      </c>
    </row>
    <row r="542" spans="1:25" s="223" customFormat="1" ht="20.25">
      <c r="A542" s="291"/>
      <c r="B542" s="292" t="str">
        <f>IF(LEN(A542)=0,"",INDEX('Smelter Reference List'!$A:$A,MATCH($A542,'Smelter Reference List'!$E:$E,0)))</f>
        <v/>
      </c>
      <c r="C542" s="298" t="str">
        <f>IF(LEN(A542)=0,"",INDEX('Smelter Reference List'!$C:$C,MATCH($A542,'Smelter Reference List'!$E:$E,0)))</f>
        <v/>
      </c>
      <c r="D542" s="292" t="str">
        <f ca="1">IF(ISERROR($S542),"",OFFSET('Smelter Reference List'!$C$4,$S542-4,0)&amp;"")</f>
        <v/>
      </c>
      <c r="E542" s="292" t="str">
        <f ca="1">IF(ISERROR($S542),"",OFFSET('Smelter Reference List'!$D$4,$S542-4,0)&amp;"")</f>
        <v/>
      </c>
      <c r="F542" s="292" t="str">
        <f ca="1">IF(ISERROR($S542),"",OFFSET('Smelter Reference List'!$E$4,$S542-4,0))</f>
        <v/>
      </c>
      <c r="G542" s="292" t="str">
        <f ca="1">IF(C542=$U$4,"Enter smelter details", IF(ISERROR($S542),"",OFFSET('Smelter Reference List'!$F$4,$S542-4,0)))</f>
        <v/>
      </c>
      <c r="H542" s="293" t="str">
        <f ca="1">IF(ISERROR($S542),"",OFFSET('Smelter Reference List'!$G$4,$S542-4,0))</f>
        <v/>
      </c>
      <c r="I542" s="294" t="str">
        <f ca="1">IF(ISERROR($S542),"",OFFSET('Smelter Reference List'!$H$4,$S542-4,0))</f>
        <v/>
      </c>
      <c r="J542" s="294" t="str">
        <f ca="1">IF(ISERROR($S542),"",OFFSET('Smelter Reference List'!$I$4,$S542-4,0))</f>
        <v/>
      </c>
      <c r="K542" s="295"/>
      <c r="L542" s="295"/>
      <c r="M542" s="295"/>
      <c r="N542" s="295"/>
      <c r="O542" s="295"/>
      <c r="P542" s="295"/>
      <c r="Q542" s="296"/>
      <c r="R542" s="227"/>
      <c r="S542" s="228" t="e">
        <f>IF(C542="",NA(),MATCH($B542&amp;$C542,'Smelter Reference List'!$J:$J,0))</f>
        <v>#N/A</v>
      </c>
      <c r="T542" s="229"/>
      <c r="U542" s="229">
        <f t="shared" ca="1" si="18"/>
        <v>0</v>
      </c>
      <c r="V542" s="229"/>
      <c r="W542" s="229"/>
      <c r="Y542" s="223" t="str">
        <f t="shared" si="19"/>
        <v/>
      </c>
    </row>
    <row r="543" spans="1:25" s="223" customFormat="1" ht="20.25">
      <c r="A543" s="291"/>
      <c r="B543" s="292" t="str">
        <f>IF(LEN(A543)=0,"",INDEX('Smelter Reference List'!$A:$A,MATCH($A543,'Smelter Reference List'!$E:$E,0)))</f>
        <v/>
      </c>
      <c r="C543" s="298" t="str">
        <f>IF(LEN(A543)=0,"",INDEX('Smelter Reference List'!$C:$C,MATCH($A543,'Smelter Reference List'!$E:$E,0)))</f>
        <v/>
      </c>
      <c r="D543" s="292" t="str">
        <f ca="1">IF(ISERROR($S543),"",OFFSET('Smelter Reference List'!$C$4,$S543-4,0)&amp;"")</f>
        <v/>
      </c>
      <c r="E543" s="292" t="str">
        <f ca="1">IF(ISERROR($S543),"",OFFSET('Smelter Reference List'!$D$4,$S543-4,0)&amp;"")</f>
        <v/>
      </c>
      <c r="F543" s="292" t="str">
        <f ca="1">IF(ISERROR($S543),"",OFFSET('Smelter Reference List'!$E$4,$S543-4,0))</f>
        <v/>
      </c>
      <c r="G543" s="292" t="str">
        <f ca="1">IF(C543=$U$4,"Enter smelter details", IF(ISERROR($S543),"",OFFSET('Smelter Reference List'!$F$4,$S543-4,0)))</f>
        <v/>
      </c>
      <c r="H543" s="293" t="str">
        <f ca="1">IF(ISERROR($S543),"",OFFSET('Smelter Reference List'!$G$4,$S543-4,0))</f>
        <v/>
      </c>
      <c r="I543" s="294" t="str">
        <f ca="1">IF(ISERROR($S543),"",OFFSET('Smelter Reference List'!$H$4,$S543-4,0))</f>
        <v/>
      </c>
      <c r="J543" s="294" t="str">
        <f ca="1">IF(ISERROR($S543),"",OFFSET('Smelter Reference List'!$I$4,$S543-4,0))</f>
        <v/>
      </c>
      <c r="K543" s="295"/>
      <c r="L543" s="295"/>
      <c r="M543" s="295"/>
      <c r="N543" s="295"/>
      <c r="O543" s="295"/>
      <c r="P543" s="295"/>
      <c r="Q543" s="296"/>
      <c r="R543" s="227"/>
      <c r="S543" s="228" t="e">
        <f>IF(C543="",NA(),MATCH($B543&amp;$C543,'Smelter Reference List'!$J:$J,0))</f>
        <v>#N/A</v>
      </c>
      <c r="T543" s="229"/>
      <c r="U543" s="229">
        <f t="shared" ca="1" si="18"/>
        <v>0</v>
      </c>
      <c r="V543" s="229"/>
      <c r="W543" s="229"/>
      <c r="Y543" s="223" t="str">
        <f t="shared" si="19"/>
        <v/>
      </c>
    </row>
    <row r="544" spans="1:25" s="223" customFormat="1" ht="20.25">
      <c r="A544" s="291"/>
      <c r="B544" s="292" t="str">
        <f>IF(LEN(A544)=0,"",INDEX('Smelter Reference List'!$A:$A,MATCH($A544,'Smelter Reference List'!$E:$E,0)))</f>
        <v/>
      </c>
      <c r="C544" s="298" t="str">
        <f>IF(LEN(A544)=0,"",INDEX('Smelter Reference List'!$C:$C,MATCH($A544,'Smelter Reference List'!$E:$E,0)))</f>
        <v/>
      </c>
      <c r="D544" s="292" t="str">
        <f ca="1">IF(ISERROR($S544),"",OFFSET('Smelter Reference List'!$C$4,$S544-4,0)&amp;"")</f>
        <v/>
      </c>
      <c r="E544" s="292" t="str">
        <f ca="1">IF(ISERROR($S544),"",OFFSET('Smelter Reference List'!$D$4,$S544-4,0)&amp;"")</f>
        <v/>
      </c>
      <c r="F544" s="292" t="str">
        <f ca="1">IF(ISERROR($S544),"",OFFSET('Smelter Reference List'!$E$4,$S544-4,0))</f>
        <v/>
      </c>
      <c r="G544" s="292" t="str">
        <f ca="1">IF(C544=$U$4,"Enter smelter details", IF(ISERROR($S544),"",OFFSET('Smelter Reference List'!$F$4,$S544-4,0)))</f>
        <v/>
      </c>
      <c r="H544" s="293" t="str">
        <f ca="1">IF(ISERROR($S544),"",OFFSET('Smelter Reference List'!$G$4,$S544-4,0))</f>
        <v/>
      </c>
      <c r="I544" s="294" t="str">
        <f ca="1">IF(ISERROR($S544),"",OFFSET('Smelter Reference List'!$H$4,$S544-4,0))</f>
        <v/>
      </c>
      <c r="J544" s="294" t="str">
        <f ca="1">IF(ISERROR($S544),"",OFFSET('Smelter Reference List'!$I$4,$S544-4,0))</f>
        <v/>
      </c>
      <c r="K544" s="295"/>
      <c r="L544" s="295"/>
      <c r="M544" s="295"/>
      <c r="N544" s="295"/>
      <c r="O544" s="295"/>
      <c r="P544" s="295"/>
      <c r="Q544" s="296"/>
      <c r="R544" s="227"/>
      <c r="S544" s="228" t="e">
        <f>IF(C544="",NA(),MATCH($B544&amp;$C544,'Smelter Reference List'!$J:$J,0))</f>
        <v>#N/A</v>
      </c>
      <c r="T544" s="229"/>
      <c r="U544" s="229">
        <f t="shared" ca="1" si="18"/>
        <v>0</v>
      </c>
      <c r="V544" s="229"/>
      <c r="W544" s="229"/>
      <c r="Y544" s="223" t="str">
        <f t="shared" si="19"/>
        <v/>
      </c>
    </row>
    <row r="545" spans="1:25" s="223" customFormat="1" ht="20.25">
      <c r="A545" s="291"/>
      <c r="B545" s="292" t="str">
        <f>IF(LEN(A545)=0,"",INDEX('Smelter Reference List'!$A:$A,MATCH($A545,'Smelter Reference List'!$E:$E,0)))</f>
        <v/>
      </c>
      <c r="C545" s="298" t="str">
        <f>IF(LEN(A545)=0,"",INDEX('Smelter Reference List'!$C:$C,MATCH($A545,'Smelter Reference List'!$E:$E,0)))</f>
        <v/>
      </c>
      <c r="D545" s="292" t="str">
        <f ca="1">IF(ISERROR($S545),"",OFFSET('Smelter Reference List'!$C$4,$S545-4,0)&amp;"")</f>
        <v/>
      </c>
      <c r="E545" s="292" t="str">
        <f ca="1">IF(ISERROR($S545),"",OFFSET('Smelter Reference List'!$D$4,$S545-4,0)&amp;"")</f>
        <v/>
      </c>
      <c r="F545" s="292" t="str">
        <f ca="1">IF(ISERROR($S545),"",OFFSET('Smelter Reference List'!$E$4,$S545-4,0))</f>
        <v/>
      </c>
      <c r="G545" s="292" t="str">
        <f ca="1">IF(C545=$U$4,"Enter smelter details", IF(ISERROR($S545),"",OFFSET('Smelter Reference List'!$F$4,$S545-4,0)))</f>
        <v/>
      </c>
      <c r="H545" s="293" t="str">
        <f ca="1">IF(ISERROR($S545),"",OFFSET('Smelter Reference List'!$G$4,$S545-4,0))</f>
        <v/>
      </c>
      <c r="I545" s="294" t="str">
        <f ca="1">IF(ISERROR($S545),"",OFFSET('Smelter Reference List'!$H$4,$S545-4,0))</f>
        <v/>
      </c>
      <c r="J545" s="294" t="str">
        <f ca="1">IF(ISERROR($S545),"",OFFSET('Smelter Reference List'!$I$4,$S545-4,0))</f>
        <v/>
      </c>
      <c r="K545" s="295"/>
      <c r="L545" s="295"/>
      <c r="M545" s="295"/>
      <c r="N545" s="295"/>
      <c r="O545" s="295"/>
      <c r="P545" s="295"/>
      <c r="Q545" s="296"/>
      <c r="R545" s="227"/>
      <c r="S545" s="228" t="e">
        <f>IF(C545="",NA(),MATCH($B545&amp;$C545,'Smelter Reference List'!$J:$J,0))</f>
        <v>#N/A</v>
      </c>
      <c r="T545" s="229"/>
      <c r="U545" s="229">
        <f t="shared" ca="1" si="18"/>
        <v>0</v>
      </c>
      <c r="V545" s="229"/>
      <c r="W545" s="229"/>
      <c r="Y545" s="223" t="str">
        <f t="shared" si="19"/>
        <v/>
      </c>
    </row>
    <row r="546" spans="1:25" s="223" customFormat="1" ht="20.25">
      <c r="A546" s="291"/>
      <c r="B546" s="292" t="str">
        <f>IF(LEN(A546)=0,"",INDEX('Smelter Reference List'!$A:$A,MATCH($A546,'Smelter Reference List'!$E:$E,0)))</f>
        <v/>
      </c>
      <c r="C546" s="298" t="str">
        <f>IF(LEN(A546)=0,"",INDEX('Smelter Reference List'!$C:$C,MATCH($A546,'Smelter Reference List'!$E:$E,0)))</f>
        <v/>
      </c>
      <c r="D546" s="292" t="str">
        <f ca="1">IF(ISERROR($S546),"",OFFSET('Smelter Reference List'!$C$4,$S546-4,0)&amp;"")</f>
        <v/>
      </c>
      <c r="E546" s="292" t="str">
        <f ca="1">IF(ISERROR($S546),"",OFFSET('Smelter Reference List'!$D$4,$S546-4,0)&amp;"")</f>
        <v/>
      </c>
      <c r="F546" s="292" t="str">
        <f ca="1">IF(ISERROR($S546),"",OFFSET('Smelter Reference List'!$E$4,$S546-4,0))</f>
        <v/>
      </c>
      <c r="G546" s="292" t="str">
        <f ca="1">IF(C546=$U$4,"Enter smelter details", IF(ISERROR($S546),"",OFFSET('Smelter Reference List'!$F$4,$S546-4,0)))</f>
        <v/>
      </c>
      <c r="H546" s="293" t="str">
        <f ca="1">IF(ISERROR($S546),"",OFFSET('Smelter Reference List'!$G$4,$S546-4,0))</f>
        <v/>
      </c>
      <c r="I546" s="294" t="str">
        <f ca="1">IF(ISERROR($S546),"",OFFSET('Smelter Reference List'!$H$4,$S546-4,0))</f>
        <v/>
      </c>
      <c r="J546" s="294" t="str">
        <f ca="1">IF(ISERROR($S546),"",OFFSET('Smelter Reference List'!$I$4,$S546-4,0))</f>
        <v/>
      </c>
      <c r="K546" s="295"/>
      <c r="L546" s="295"/>
      <c r="M546" s="295"/>
      <c r="N546" s="295"/>
      <c r="O546" s="295"/>
      <c r="P546" s="295"/>
      <c r="Q546" s="296"/>
      <c r="R546" s="227"/>
      <c r="S546" s="228" t="e">
        <f>IF(C546="",NA(),MATCH($B546&amp;$C546,'Smelter Reference List'!$J:$J,0))</f>
        <v>#N/A</v>
      </c>
      <c r="T546" s="229"/>
      <c r="U546" s="229">
        <f t="shared" ca="1" si="18"/>
        <v>0</v>
      </c>
      <c r="V546" s="229"/>
      <c r="W546" s="229"/>
      <c r="Y546" s="223" t="str">
        <f t="shared" si="19"/>
        <v/>
      </c>
    </row>
    <row r="547" spans="1:25" s="223" customFormat="1" ht="20.25">
      <c r="A547" s="291"/>
      <c r="B547" s="292" t="str">
        <f>IF(LEN(A547)=0,"",INDEX('Smelter Reference List'!$A:$A,MATCH($A547,'Smelter Reference List'!$E:$E,0)))</f>
        <v/>
      </c>
      <c r="C547" s="298" t="str">
        <f>IF(LEN(A547)=0,"",INDEX('Smelter Reference List'!$C:$C,MATCH($A547,'Smelter Reference List'!$E:$E,0)))</f>
        <v/>
      </c>
      <c r="D547" s="292" t="str">
        <f ca="1">IF(ISERROR($S547),"",OFFSET('Smelter Reference List'!$C$4,$S547-4,0)&amp;"")</f>
        <v/>
      </c>
      <c r="E547" s="292" t="str">
        <f ca="1">IF(ISERROR($S547),"",OFFSET('Smelter Reference List'!$D$4,$S547-4,0)&amp;"")</f>
        <v/>
      </c>
      <c r="F547" s="292" t="str">
        <f ca="1">IF(ISERROR($S547),"",OFFSET('Smelter Reference List'!$E$4,$S547-4,0))</f>
        <v/>
      </c>
      <c r="G547" s="292" t="str">
        <f ca="1">IF(C547=$U$4,"Enter smelter details", IF(ISERROR($S547),"",OFFSET('Smelter Reference List'!$F$4,$S547-4,0)))</f>
        <v/>
      </c>
      <c r="H547" s="293" t="str">
        <f ca="1">IF(ISERROR($S547),"",OFFSET('Smelter Reference List'!$G$4,$S547-4,0))</f>
        <v/>
      </c>
      <c r="I547" s="294" t="str">
        <f ca="1">IF(ISERROR($S547),"",OFFSET('Smelter Reference List'!$H$4,$S547-4,0))</f>
        <v/>
      </c>
      <c r="J547" s="294" t="str">
        <f ca="1">IF(ISERROR($S547),"",OFFSET('Smelter Reference List'!$I$4,$S547-4,0))</f>
        <v/>
      </c>
      <c r="K547" s="295"/>
      <c r="L547" s="295"/>
      <c r="M547" s="295"/>
      <c r="N547" s="295"/>
      <c r="O547" s="295"/>
      <c r="P547" s="295"/>
      <c r="Q547" s="296"/>
      <c r="R547" s="227"/>
      <c r="S547" s="228" t="e">
        <f>IF(C547="",NA(),MATCH($B547&amp;$C547,'Smelter Reference List'!$J:$J,0))</f>
        <v>#N/A</v>
      </c>
      <c r="T547" s="229"/>
      <c r="U547" s="229">
        <f t="shared" ca="1" si="18"/>
        <v>0</v>
      </c>
      <c r="V547" s="229"/>
      <c r="W547" s="229"/>
      <c r="Y547" s="223" t="str">
        <f t="shared" si="19"/>
        <v/>
      </c>
    </row>
    <row r="548" spans="1:25" s="223" customFormat="1" ht="20.25">
      <c r="A548" s="291"/>
      <c r="B548" s="292" t="str">
        <f>IF(LEN(A548)=0,"",INDEX('Smelter Reference List'!$A:$A,MATCH($A548,'Smelter Reference List'!$E:$E,0)))</f>
        <v/>
      </c>
      <c r="C548" s="298" t="str">
        <f>IF(LEN(A548)=0,"",INDEX('Smelter Reference List'!$C:$C,MATCH($A548,'Smelter Reference List'!$E:$E,0)))</f>
        <v/>
      </c>
      <c r="D548" s="292" t="str">
        <f ca="1">IF(ISERROR($S548),"",OFFSET('Smelter Reference List'!$C$4,$S548-4,0)&amp;"")</f>
        <v/>
      </c>
      <c r="E548" s="292" t="str">
        <f ca="1">IF(ISERROR($S548),"",OFFSET('Smelter Reference List'!$D$4,$S548-4,0)&amp;"")</f>
        <v/>
      </c>
      <c r="F548" s="292" t="str">
        <f ca="1">IF(ISERROR($S548),"",OFFSET('Smelter Reference List'!$E$4,$S548-4,0))</f>
        <v/>
      </c>
      <c r="G548" s="292" t="str">
        <f ca="1">IF(C548=$U$4,"Enter smelter details", IF(ISERROR($S548),"",OFFSET('Smelter Reference List'!$F$4,$S548-4,0)))</f>
        <v/>
      </c>
      <c r="H548" s="293" t="str">
        <f ca="1">IF(ISERROR($S548),"",OFFSET('Smelter Reference List'!$G$4,$S548-4,0))</f>
        <v/>
      </c>
      <c r="I548" s="294" t="str">
        <f ca="1">IF(ISERROR($S548),"",OFFSET('Smelter Reference List'!$H$4,$S548-4,0))</f>
        <v/>
      </c>
      <c r="J548" s="294" t="str">
        <f ca="1">IF(ISERROR($S548),"",OFFSET('Smelter Reference List'!$I$4,$S548-4,0))</f>
        <v/>
      </c>
      <c r="K548" s="295"/>
      <c r="L548" s="295"/>
      <c r="M548" s="295"/>
      <c r="N548" s="295"/>
      <c r="O548" s="295"/>
      <c r="P548" s="295"/>
      <c r="Q548" s="296"/>
      <c r="R548" s="227"/>
      <c r="S548" s="228" t="e">
        <f>IF(C548="",NA(),MATCH($B548&amp;$C548,'Smelter Reference List'!$J:$J,0))</f>
        <v>#N/A</v>
      </c>
      <c r="T548" s="229"/>
      <c r="U548" s="229">
        <f t="shared" ca="1" si="18"/>
        <v>0</v>
      </c>
      <c r="V548" s="229"/>
      <c r="W548" s="229"/>
      <c r="Y548" s="223" t="str">
        <f t="shared" si="19"/>
        <v/>
      </c>
    </row>
    <row r="549" spans="1:25" s="223" customFormat="1" ht="20.25">
      <c r="A549" s="291"/>
      <c r="B549" s="292" t="str">
        <f>IF(LEN(A549)=0,"",INDEX('Smelter Reference List'!$A:$A,MATCH($A549,'Smelter Reference List'!$E:$E,0)))</f>
        <v/>
      </c>
      <c r="C549" s="298" t="str">
        <f>IF(LEN(A549)=0,"",INDEX('Smelter Reference List'!$C:$C,MATCH($A549,'Smelter Reference List'!$E:$E,0)))</f>
        <v/>
      </c>
      <c r="D549" s="292" t="str">
        <f ca="1">IF(ISERROR($S549),"",OFFSET('Smelter Reference List'!$C$4,$S549-4,0)&amp;"")</f>
        <v/>
      </c>
      <c r="E549" s="292" t="str">
        <f ca="1">IF(ISERROR($S549),"",OFFSET('Smelter Reference List'!$D$4,$S549-4,0)&amp;"")</f>
        <v/>
      </c>
      <c r="F549" s="292" t="str">
        <f ca="1">IF(ISERROR($S549),"",OFFSET('Smelter Reference List'!$E$4,$S549-4,0))</f>
        <v/>
      </c>
      <c r="G549" s="292" t="str">
        <f ca="1">IF(C549=$U$4,"Enter smelter details", IF(ISERROR($S549),"",OFFSET('Smelter Reference List'!$F$4,$S549-4,0)))</f>
        <v/>
      </c>
      <c r="H549" s="293" t="str">
        <f ca="1">IF(ISERROR($S549),"",OFFSET('Smelter Reference List'!$G$4,$S549-4,0))</f>
        <v/>
      </c>
      <c r="I549" s="294" t="str">
        <f ca="1">IF(ISERROR($S549),"",OFFSET('Smelter Reference List'!$H$4,$S549-4,0))</f>
        <v/>
      </c>
      <c r="J549" s="294" t="str">
        <f ca="1">IF(ISERROR($S549),"",OFFSET('Smelter Reference List'!$I$4,$S549-4,0))</f>
        <v/>
      </c>
      <c r="K549" s="295"/>
      <c r="L549" s="295"/>
      <c r="M549" s="295"/>
      <c r="N549" s="295"/>
      <c r="O549" s="295"/>
      <c r="P549" s="295"/>
      <c r="Q549" s="296"/>
      <c r="R549" s="227"/>
      <c r="S549" s="228" t="e">
        <f>IF(C549="",NA(),MATCH($B549&amp;$C549,'Smelter Reference List'!$J:$J,0))</f>
        <v>#N/A</v>
      </c>
      <c r="T549" s="229"/>
      <c r="U549" s="229">
        <f t="shared" ca="1" si="18"/>
        <v>0</v>
      </c>
      <c r="V549" s="229"/>
      <c r="W549" s="229"/>
      <c r="Y549" s="223" t="str">
        <f t="shared" si="19"/>
        <v/>
      </c>
    </row>
    <row r="550" spans="1:25" s="223" customFormat="1" ht="20.25">
      <c r="A550" s="291"/>
      <c r="B550" s="292" t="str">
        <f>IF(LEN(A550)=0,"",INDEX('Smelter Reference List'!$A:$A,MATCH($A550,'Smelter Reference List'!$E:$E,0)))</f>
        <v/>
      </c>
      <c r="C550" s="298" t="str">
        <f>IF(LEN(A550)=0,"",INDEX('Smelter Reference List'!$C:$C,MATCH($A550,'Smelter Reference List'!$E:$E,0)))</f>
        <v/>
      </c>
      <c r="D550" s="292" t="str">
        <f ca="1">IF(ISERROR($S550),"",OFFSET('Smelter Reference List'!$C$4,$S550-4,0)&amp;"")</f>
        <v/>
      </c>
      <c r="E550" s="292" t="str">
        <f ca="1">IF(ISERROR($S550),"",OFFSET('Smelter Reference List'!$D$4,$S550-4,0)&amp;"")</f>
        <v/>
      </c>
      <c r="F550" s="292" t="str">
        <f ca="1">IF(ISERROR($S550),"",OFFSET('Smelter Reference List'!$E$4,$S550-4,0))</f>
        <v/>
      </c>
      <c r="G550" s="292" t="str">
        <f ca="1">IF(C550=$U$4,"Enter smelter details", IF(ISERROR($S550),"",OFFSET('Smelter Reference List'!$F$4,$S550-4,0)))</f>
        <v/>
      </c>
      <c r="H550" s="293" t="str">
        <f ca="1">IF(ISERROR($S550),"",OFFSET('Smelter Reference List'!$G$4,$S550-4,0))</f>
        <v/>
      </c>
      <c r="I550" s="294" t="str">
        <f ca="1">IF(ISERROR($S550),"",OFFSET('Smelter Reference List'!$H$4,$S550-4,0))</f>
        <v/>
      </c>
      <c r="J550" s="294" t="str">
        <f ca="1">IF(ISERROR($S550),"",OFFSET('Smelter Reference List'!$I$4,$S550-4,0))</f>
        <v/>
      </c>
      <c r="K550" s="295"/>
      <c r="L550" s="295"/>
      <c r="M550" s="295"/>
      <c r="N550" s="295"/>
      <c r="O550" s="295"/>
      <c r="P550" s="295"/>
      <c r="Q550" s="296"/>
      <c r="R550" s="227"/>
      <c r="S550" s="228" t="e">
        <f>IF(C550="",NA(),MATCH($B550&amp;$C550,'Smelter Reference List'!$J:$J,0))</f>
        <v>#N/A</v>
      </c>
      <c r="T550" s="229"/>
      <c r="U550" s="229">
        <f t="shared" ca="1" si="18"/>
        <v>0</v>
      </c>
      <c r="V550" s="229"/>
      <c r="W550" s="229"/>
      <c r="Y550" s="223" t="str">
        <f t="shared" si="19"/>
        <v/>
      </c>
    </row>
    <row r="551" spans="1:25" s="223" customFormat="1" ht="20.25">
      <c r="A551" s="291"/>
      <c r="B551" s="292" t="str">
        <f>IF(LEN(A551)=0,"",INDEX('Smelter Reference List'!$A:$A,MATCH($A551,'Smelter Reference List'!$E:$E,0)))</f>
        <v/>
      </c>
      <c r="C551" s="298" t="str">
        <f>IF(LEN(A551)=0,"",INDEX('Smelter Reference List'!$C:$C,MATCH($A551,'Smelter Reference List'!$E:$E,0)))</f>
        <v/>
      </c>
      <c r="D551" s="292" t="str">
        <f ca="1">IF(ISERROR($S551),"",OFFSET('Smelter Reference List'!$C$4,$S551-4,0)&amp;"")</f>
        <v/>
      </c>
      <c r="E551" s="292" t="str">
        <f ca="1">IF(ISERROR($S551),"",OFFSET('Smelter Reference List'!$D$4,$S551-4,0)&amp;"")</f>
        <v/>
      </c>
      <c r="F551" s="292" t="str">
        <f ca="1">IF(ISERROR($S551),"",OFFSET('Smelter Reference List'!$E$4,$S551-4,0))</f>
        <v/>
      </c>
      <c r="G551" s="292" t="str">
        <f ca="1">IF(C551=$U$4,"Enter smelter details", IF(ISERROR($S551),"",OFFSET('Smelter Reference List'!$F$4,$S551-4,0)))</f>
        <v/>
      </c>
      <c r="H551" s="293" t="str">
        <f ca="1">IF(ISERROR($S551),"",OFFSET('Smelter Reference List'!$G$4,$S551-4,0))</f>
        <v/>
      </c>
      <c r="I551" s="294" t="str">
        <f ca="1">IF(ISERROR($S551),"",OFFSET('Smelter Reference List'!$H$4,$S551-4,0))</f>
        <v/>
      </c>
      <c r="J551" s="294" t="str">
        <f ca="1">IF(ISERROR($S551),"",OFFSET('Smelter Reference List'!$I$4,$S551-4,0))</f>
        <v/>
      </c>
      <c r="K551" s="295"/>
      <c r="L551" s="295"/>
      <c r="M551" s="295"/>
      <c r="N551" s="295"/>
      <c r="O551" s="295"/>
      <c r="P551" s="295"/>
      <c r="Q551" s="296"/>
      <c r="R551" s="227"/>
      <c r="S551" s="228" t="e">
        <f>IF(C551="",NA(),MATCH($B551&amp;$C551,'Smelter Reference List'!$J:$J,0))</f>
        <v>#N/A</v>
      </c>
      <c r="T551" s="229"/>
      <c r="U551" s="229">
        <f t="shared" ca="1" si="18"/>
        <v>0</v>
      </c>
      <c r="V551" s="229"/>
      <c r="W551" s="229"/>
      <c r="Y551" s="223" t="str">
        <f t="shared" si="19"/>
        <v/>
      </c>
    </row>
    <row r="552" spans="1:25" s="223" customFormat="1" ht="20.25">
      <c r="A552" s="291"/>
      <c r="B552" s="292" t="str">
        <f>IF(LEN(A552)=0,"",INDEX('Smelter Reference List'!$A:$A,MATCH($A552,'Smelter Reference List'!$E:$E,0)))</f>
        <v/>
      </c>
      <c r="C552" s="298" t="str">
        <f>IF(LEN(A552)=0,"",INDEX('Smelter Reference List'!$C:$C,MATCH($A552,'Smelter Reference List'!$E:$E,0)))</f>
        <v/>
      </c>
      <c r="D552" s="292" t="str">
        <f ca="1">IF(ISERROR($S552),"",OFFSET('Smelter Reference List'!$C$4,$S552-4,0)&amp;"")</f>
        <v/>
      </c>
      <c r="E552" s="292" t="str">
        <f ca="1">IF(ISERROR($S552),"",OFFSET('Smelter Reference List'!$D$4,$S552-4,0)&amp;"")</f>
        <v/>
      </c>
      <c r="F552" s="292" t="str">
        <f ca="1">IF(ISERROR($S552),"",OFFSET('Smelter Reference List'!$E$4,$S552-4,0))</f>
        <v/>
      </c>
      <c r="G552" s="292" t="str">
        <f ca="1">IF(C552=$U$4,"Enter smelter details", IF(ISERROR($S552),"",OFFSET('Smelter Reference List'!$F$4,$S552-4,0)))</f>
        <v/>
      </c>
      <c r="H552" s="293" t="str">
        <f ca="1">IF(ISERROR($S552),"",OFFSET('Smelter Reference List'!$G$4,$S552-4,0))</f>
        <v/>
      </c>
      <c r="I552" s="294" t="str">
        <f ca="1">IF(ISERROR($S552),"",OFFSET('Smelter Reference List'!$H$4,$S552-4,0))</f>
        <v/>
      </c>
      <c r="J552" s="294" t="str">
        <f ca="1">IF(ISERROR($S552),"",OFFSET('Smelter Reference List'!$I$4,$S552-4,0))</f>
        <v/>
      </c>
      <c r="K552" s="295"/>
      <c r="L552" s="295"/>
      <c r="M552" s="295"/>
      <c r="N552" s="295"/>
      <c r="O552" s="295"/>
      <c r="P552" s="295"/>
      <c r="Q552" s="296"/>
      <c r="R552" s="227"/>
      <c r="S552" s="228" t="e">
        <f>IF(C552="",NA(),MATCH($B552&amp;$C552,'Smelter Reference List'!$J:$J,0))</f>
        <v>#N/A</v>
      </c>
      <c r="T552" s="229"/>
      <c r="U552" s="229">
        <f t="shared" ca="1" si="18"/>
        <v>0</v>
      </c>
      <c r="V552" s="229"/>
      <c r="W552" s="229"/>
      <c r="Y552" s="223" t="str">
        <f t="shared" si="19"/>
        <v/>
      </c>
    </row>
    <row r="553" spans="1:25" s="223" customFormat="1" ht="20.25">
      <c r="A553" s="291"/>
      <c r="B553" s="292" t="str">
        <f>IF(LEN(A553)=0,"",INDEX('Smelter Reference List'!$A:$A,MATCH($A553,'Smelter Reference List'!$E:$E,0)))</f>
        <v/>
      </c>
      <c r="C553" s="298" t="str">
        <f>IF(LEN(A553)=0,"",INDEX('Smelter Reference List'!$C:$C,MATCH($A553,'Smelter Reference List'!$E:$E,0)))</f>
        <v/>
      </c>
      <c r="D553" s="292" t="str">
        <f ca="1">IF(ISERROR($S553),"",OFFSET('Smelter Reference List'!$C$4,$S553-4,0)&amp;"")</f>
        <v/>
      </c>
      <c r="E553" s="292" t="str">
        <f ca="1">IF(ISERROR($S553),"",OFFSET('Smelter Reference List'!$D$4,$S553-4,0)&amp;"")</f>
        <v/>
      </c>
      <c r="F553" s="292" t="str">
        <f ca="1">IF(ISERROR($S553),"",OFFSET('Smelter Reference List'!$E$4,$S553-4,0))</f>
        <v/>
      </c>
      <c r="G553" s="292" t="str">
        <f ca="1">IF(C553=$U$4,"Enter smelter details", IF(ISERROR($S553),"",OFFSET('Smelter Reference List'!$F$4,$S553-4,0)))</f>
        <v/>
      </c>
      <c r="H553" s="293" t="str">
        <f ca="1">IF(ISERROR($S553),"",OFFSET('Smelter Reference List'!$G$4,$S553-4,0))</f>
        <v/>
      </c>
      <c r="I553" s="294" t="str">
        <f ca="1">IF(ISERROR($S553),"",OFFSET('Smelter Reference List'!$H$4,$S553-4,0))</f>
        <v/>
      </c>
      <c r="J553" s="294" t="str">
        <f ca="1">IF(ISERROR($S553),"",OFFSET('Smelter Reference List'!$I$4,$S553-4,0))</f>
        <v/>
      </c>
      <c r="K553" s="295"/>
      <c r="L553" s="295"/>
      <c r="M553" s="295"/>
      <c r="N553" s="295"/>
      <c r="O553" s="295"/>
      <c r="P553" s="295"/>
      <c r="Q553" s="296"/>
      <c r="R553" s="227"/>
      <c r="S553" s="228" t="e">
        <f>IF(C553="",NA(),MATCH($B553&amp;$C553,'Smelter Reference List'!$J:$J,0))</f>
        <v>#N/A</v>
      </c>
      <c r="T553" s="229"/>
      <c r="U553" s="229">
        <f t="shared" ca="1" si="18"/>
        <v>0</v>
      </c>
      <c r="V553" s="229"/>
      <c r="W553" s="229"/>
      <c r="Y553" s="223" t="str">
        <f t="shared" si="19"/>
        <v/>
      </c>
    </row>
    <row r="554" spans="1:25" s="223" customFormat="1" ht="20.25">
      <c r="A554" s="291"/>
      <c r="B554" s="292" t="str">
        <f>IF(LEN(A554)=0,"",INDEX('Smelter Reference List'!$A:$A,MATCH($A554,'Smelter Reference List'!$E:$E,0)))</f>
        <v/>
      </c>
      <c r="C554" s="298" t="str">
        <f>IF(LEN(A554)=0,"",INDEX('Smelter Reference List'!$C:$C,MATCH($A554,'Smelter Reference List'!$E:$E,0)))</f>
        <v/>
      </c>
      <c r="D554" s="292" t="str">
        <f ca="1">IF(ISERROR($S554),"",OFFSET('Smelter Reference List'!$C$4,$S554-4,0)&amp;"")</f>
        <v/>
      </c>
      <c r="E554" s="292" t="str">
        <f ca="1">IF(ISERROR($S554),"",OFFSET('Smelter Reference List'!$D$4,$S554-4,0)&amp;"")</f>
        <v/>
      </c>
      <c r="F554" s="292" t="str">
        <f ca="1">IF(ISERROR($S554),"",OFFSET('Smelter Reference List'!$E$4,$S554-4,0))</f>
        <v/>
      </c>
      <c r="G554" s="292" t="str">
        <f ca="1">IF(C554=$U$4,"Enter smelter details", IF(ISERROR($S554),"",OFFSET('Smelter Reference List'!$F$4,$S554-4,0)))</f>
        <v/>
      </c>
      <c r="H554" s="293" t="str">
        <f ca="1">IF(ISERROR($S554),"",OFFSET('Smelter Reference List'!$G$4,$S554-4,0))</f>
        <v/>
      </c>
      <c r="I554" s="294" t="str">
        <f ca="1">IF(ISERROR($S554),"",OFFSET('Smelter Reference List'!$H$4,$S554-4,0))</f>
        <v/>
      </c>
      <c r="J554" s="294" t="str">
        <f ca="1">IF(ISERROR($S554),"",OFFSET('Smelter Reference List'!$I$4,$S554-4,0))</f>
        <v/>
      </c>
      <c r="K554" s="295"/>
      <c r="L554" s="295"/>
      <c r="M554" s="295"/>
      <c r="N554" s="295"/>
      <c r="O554" s="295"/>
      <c r="P554" s="295"/>
      <c r="Q554" s="296"/>
      <c r="R554" s="227"/>
      <c r="S554" s="228" t="e">
        <f>IF(C554="",NA(),MATCH($B554&amp;$C554,'Smelter Reference List'!$J:$J,0))</f>
        <v>#N/A</v>
      </c>
      <c r="T554" s="229"/>
      <c r="U554" s="229">
        <f t="shared" ca="1" si="18"/>
        <v>0</v>
      </c>
      <c r="V554" s="229"/>
      <c r="W554" s="229"/>
      <c r="Y554" s="223" t="str">
        <f t="shared" si="19"/>
        <v/>
      </c>
    </row>
    <row r="555" spans="1:25" s="223" customFormat="1" ht="20.25">
      <c r="A555" s="291"/>
      <c r="B555" s="292" t="str">
        <f>IF(LEN(A555)=0,"",INDEX('Smelter Reference List'!$A:$A,MATCH($A555,'Smelter Reference List'!$E:$E,0)))</f>
        <v/>
      </c>
      <c r="C555" s="298" t="str">
        <f>IF(LEN(A555)=0,"",INDEX('Smelter Reference List'!$C:$C,MATCH($A555,'Smelter Reference List'!$E:$E,0)))</f>
        <v/>
      </c>
      <c r="D555" s="292" t="str">
        <f ca="1">IF(ISERROR($S555),"",OFFSET('Smelter Reference List'!$C$4,$S555-4,0)&amp;"")</f>
        <v/>
      </c>
      <c r="E555" s="292" t="str">
        <f ca="1">IF(ISERROR($S555),"",OFFSET('Smelter Reference List'!$D$4,$S555-4,0)&amp;"")</f>
        <v/>
      </c>
      <c r="F555" s="292" t="str">
        <f ca="1">IF(ISERROR($S555),"",OFFSET('Smelter Reference List'!$E$4,$S555-4,0))</f>
        <v/>
      </c>
      <c r="G555" s="292" t="str">
        <f ca="1">IF(C555=$U$4,"Enter smelter details", IF(ISERROR($S555),"",OFFSET('Smelter Reference List'!$F$4,$S555-4,0)))</f>
        <v/>
      </c>
      <c r="H555" s="293" t="str">
        <f ca="1">IF(ISERROR($S555),"",OFFSET('Smelter Reference List'!$G$4,$S555-4,0))</f>
        <v/>
      </c>
      <c r="I555" s="294" t="str">
        <f ca="1">IF(ISERROR($S555),"",OFFSET('Smelter Reference List'!$H$4,$S555-4,0))</f>
        <v/>
      </c>
      <c r="J555" s="294" t="str">
        <f ca="1">IF(ISERROR($S555),"",OFFSET('Smelter Reference List'!$I$4,$S555-4,0))</f>
        <v/>
      </c>
      <c r="K555" s="295"/>
      <c r="L555" s="295"/>
      <c r="M555" s="295"/>
      <c r="N555" s="295"/>
      <c r="O555" s="295"/>
      <c r="P555" s="295"/>
      <c r="Q555" s="296"/>
      <c r="R555" s="227"/>
      <c r="S555" s="228" t="e">
        <f>IF(C555="",NA(),MATCH($B555&amp;$C555,'Smelter Reference List'!$J:$J,0))</f>
        <v>#N/A</v>
      </c>
      <c r="T555" s="229"/>
      <c r="U555" s="229">
        <f t="shared" ca="1" si="18"/>
        <v>0</v>
      </c>
      <c r="V555" s="229"/>
      <c r="W555" s="229"/>
      <c r="Y555" s="223" t="str">
        <f t="shared" si="19"/>
        <v/>
      </c>
    </row>
    <row r="556" spans="1:25" s="223" customFormat="1" ht="20.25">
      <c r="A556" s="291"/>
      <c r="B556" s="292" t="str">
        <f>IF(LEN(A556)=0,"",INDEX('Smelter Reference List'!$A:$A,MATCH($A556,'Smelter Reference List'!$E:$E,0)))</f>
        <v/>
      </c>
      <c r="C556" s="298" t="str">
        <f>IF(LEN(A556)=0,"",INDEX('Smelter Reference List'!$C:$C,MATCH($A556,'Smelter Reference List'!$E:$E,0)))</f>
        <v/>
      </c>
      <c r="D556" s="292" t="str">
        <f ca="1">IF(ISERROR($S556),"",OFFSET('Smelter Reference List'!$C$4,$S556-4,0)&amp;"")</f>
        <v/>
      </c>
      <c r="E556" s="292" t="str">
        <f ca="1">IF(ISERROR($S556),"",OFFSET('Smelter Reference List'!$D$4,$S556-4,0)&amp;"")</f>
        <v/>
      </c>
      <c r="F556" s="292" t="str">
        <f ca="1">IF(ISERROR($S556),"",OFFSET('Smelter Reference List'!$E$4,$S556-4,0))</f>
        <v/>
      </c>
      <c r="G556" s="292" t="str">
        <f ca="1">IF(C556=$U$4,"Enter smelter details", IF(ISERROR($S556),"",OFFSET('Smelter Reference List'!$F$4,$S556-4,0)))</f>
        <v/>
      </c>
      <c r="H556" s="293" t="str">
        <f ca="1">IF(ISERROR($S556),"",OFFSET('Smelter Reference List'!$G$4,$S556-4,0))</f>
        <v/>
      </c>
      <c r="I556" s="294" t="str">
        <f ca="1">IF(ISERROR($S556),"",OFFSET('Smelter Reference List'!$H$4,$S556-4,0))</f>
        <v/>
      </c>
      <c r="J556" s="294" t="str">
        <f ca="1">IF(ISERROR($S556),"",OFFSET('Smelter Reference List'!$I$4,$S556-4,0))</f>
        <v/>
      </c>
      <c r="K556" s="295"/>
      <c r="L556" s="295"/>
      <c r="M556" s="295"/>
      <c r="N556" s="295"/>
      <c r="O556" s="295"/>
      <c r="P556" s="295"/>
      <c r="Q556" s="296"/>
      <c r="R556" s="227"/>
      <c r="S556" s="228" t="e">
        <f>IF(C556="",NA(),MATCH($B556&amp;$C556,'Smelter Reference List'!$J:$J,0))</f>
        <v>#N/A</v>
      </c>
      <c r="T556" s="229"/>
      <c r="U556" s="229">
        <f t="shared" ca="1" si="18"/>
        <v>0</v>
      </c>
      <c r="V556" s="229"/>
      <c r="W556" s="229"/>
      <c r="Y556" s="223" t="str">
        <f t="shared" si="19"/>
        <v/>
      </c>
    </row>
    <row r="557" spans="1:25" s="223" customFormat="1" ht="20.25">
      <c r="A557" s="291"/>
      <c r="B557" s="292" t="str">
        <f>IF(LEN(A557)=0,"",INDEX('Smelter Reference List'!$A:$A,MATCH($A557,'Smelter Reference List'!$E:$E,0)))</f>
        <v/>
      </c>
      <c r="C557" s="298" t="str">
        <f>IF(LEN(A557)=0,"",INDEX('Smelter Reference List'!$C:$C,MATCH($A557,'Smelter Reference List'!$E:$E,0)))</f>
        <v/>
      </c>
      <c r="D557" s="292" t="str">
        <f ca="1">IF(ISERROR($S557),"",OFFSET('Smelter Reference List'!$C$4,$S557-4,0)&amp;"")</f>
        <v/>
      </c>
      <c r="E557" s="292" t="str">
        <f ca="1">IF(ISERROR($S557),"",OFFSET('Smelter Reference List'!$D$4,$S557-4,0)&amp;"")</f>
        <v/>
      </c>
      <c r="F557" s="292" t="str">
        <f ca="1">IF(ISERROR($S557),"",OFFSET('Smelter Reference List'!$E$4,$S557-4,0))</f>
        <v/>
      </c>
      <c r="G557" s="292" t="str">
        <f ca="1">IF(C557=$U$4,"Enter smelter details", IF(ISERROR($S557),"",OFFSET('Smelter Reference List'!$F$4,$S557-4,0)))</f>
        <v/>
      </c>
      <c r="H557" s="293" t="str">
        <f ca="1">IF(ISERROR($S557),"",OFFSET('Smelter Reference List'!$G$4,$S557-4,0))</f>
        <v/>
      </c>
      <c r="I557" s="294" t="str">
        <f ca="1">IF(ISERROR($S557),"",OFFSET('Smelter Reference List'!$H$4,$S557-4,0))</f>
        <v/>
      </c>
      <c r="J557" s="294" t="str">
        <f ca="1">IF(ISERROR($S557),"",OFFSET('Smelter Reference List'!$I$4,$S557-4,0))</f>
        <v/>
      </c>
      <c r="K557" s="295"/>
      <c r="L557" s="295"/>
      <c r="M557" s="295"/>
      <c r="N557" s="295"/>
      <c r="O557" s="295"/>
      <c r="P557" s="295"/>
      <c r="Q557" s="296"/>
      <c r="R557" s="227"/>
      <c r="S557" s="228" t="e">
        <f>IF(C557="",NA(),MATCH($B557&amp;$C557,'Smelter Reference List'!$J:$J,0))</f>
        <v>#N/A</v>
      </c>
      <c r="T557" s="229"/>
      <c r="U557" s="229">
        <f t="shared" ca="1" si="18"/>
        <v>0</v>
      </c>
      <c r="V557" s="229"/>
      <c r="W557" s="229"/>
      <c r="Y557" s="223" t="str">
        <f t="shared" si="19"/>
        <v/>
      </c>
    </row>
    <row r="558" spans="1:25" s="223" customFormat="1" ht="20.25">
      <c r="A558" s="291"/>
      <c r="B558" s="292" t="str">
        <f>IF(LEN(A558)=0,"",INDEX('Smelter Reference List'!$A:$A,MATCH($A558,'Smelter Reference List'!$E:$E,0)))</f>
        <v/>
      </c>
      <c r="C558" s="298" t="str">
        <f>IF(LEN(A558)=0,"",INDEX('Smelter Reference List'!$C:$C,MATCH($A558,'Smelter Reference List'!$E:$E,0)))</f>
        <v/>
      </c>
      <c r="D558" s="292" t="str">
        <f ca="1">IF(ISERROR($S558),"",OFFSET('Smelter Reference List'!$C$4,$S558-4,0)&amp;"")</f>
        <v/>
      </c>
      <c r="E558" s="292" t="str">
        <f ca="1">IF(ISERROR($S558),"",OFFSET('Smelter Reference List'!$D$4,$S558-4,0)&amp;"")</f>
        <v/>
      </c>
      <c r="F558" s="292" t="str">
        <f ca="1">IF(ISERROR($S558),"",OFFSET('Smelter Reference List'!$E$4,$S558-4,0))</f>
        <v/>
      </c>
      <c r="G558" s="292" t="str">
        <f ca="1">IF(C558=$U$4,"Enter smelter details", IF(ISERROR($S558),"",OFFSET('Smelter Reference List'!$F$4,$S558-4,0)))</f>
        <v/>
      </c>
      <c r="H558" s="293" t="str">
        <f ca="1">IF(ISERROR($S558),"",OFFSET('Smelter Reference List'!$G$4,$S558-4,0))</f>
        <v/>
      </c>
      <c r="I558" s="294" t="str">
        <f ca="1">IF(ISERROR($S558),"",OFFSET('Smelter Reference List'!$H$4,$S558-4,0))</f>
        <v/>
      </c>
      <c r="J558" s="294" t="str">
        <f ca="1">IF(ISERROR($S558),"",OFFSET('Smelter Reference List'!$I$4,$S558-4,0))</f>
        <v/>
      </c>
      <c r="K558" s="295"/>
      <c r="L558" s="295"/>
      <c r="M558" s="295"/>
      <c r="N558" s="295"/>
      <c r="O558" s="295"/>
      <c r="P558" s="295"/>
      <c r="Q558" s="296"/>
      <c r="R558" s="227"/>
      <c r="S558" s="228" t="e">
        <f>IF(C558="",NA(),MATCH($B558&amp;$C558,'Smelter Reference List'!$J:$J,0))</f>
        <v>#N/A</v>
      </c>
      <c r="T558" s="229"/>
      <c r="U558" s="229">
        <f t="shared" ca="1" si="18"/>
        <v>0</v>
      </c>
      <c r="V558" s="229"/>
      <c r="W558" s="229"/>
      <c r="Y558" s="223" t="str">
        <f t="shared" si="19"/>
        <v/>
      </c>
    </row>
    <row r="559" spans="1:25" s="223" customFormat="1" ht="20.25">
      <c r="A559" s="291"/>
      <c r="B559" s="292" t="str">
        <f>IF(LEN(A559)=0,"",INDEX('Smelter Reference List'!$A:$A,MATCH($A559,'Smelter Reference List'!$E:$E,0)))</f>
        <v/>
      </c>
      <c r="C559" s="298" t="str">
        <f>IF(LEN(A559)=0,"",INDEX('Smelter Reference List'!$C:$C,MATCH($A559,'Smelter Reference List'!$E:$E,0)))</f>
        <v/>
      </c>
      <c r="D559" s="292" t="str">
        <f ca="1">IF(ISERROR($S559),"",OFFSET('Smelter Reference List'!$C$4,$S559-4,0)&amp;"")</f>
        <v/>
      </c>
      <c r="E559" s="292" t="str">
        <f ca="1">IF(ISERROR($S559),"",OFFSET('Smelter Reference List'!$D$4,$S559-4,0)&amp;"")</f>
        <v/>
      </c>
      <c r="F559" s="292" t="str">
        <f ca="1">IF(ISERROR($S559),"",OFFSET('Smelter Reference List'!$E$4,$S559-4,0))</f>
        <v/>
      </c>
      <c r="G559" s="292" t="str">
        <f ca="1">IF(C559=$U$4,"Enter smelter details", IF(ISERROR($S559),"",OFFSET('Smelter Reference List'!$F$4,$S559-4,0)))</f>
        <v/>
      </c>
      <c r="H559" s="293" t="str">
        <f ca="1">IF(ISERROR($S559),"",OFFSET('Smelter Reference List'!$G$4,$S559-4,0))</f>
        <v/>
      </c>
      <c r="I559" s="294" t="str">
        <f ca="1">IF(ISERROR($S559),"",OFFSET('Smelter Reference List'!$H$4,$S559-4,0))</f>
        <v/>
      </c>
      <c r="J559" s="294" t="str">
        <f ca="1">IF(ISERROR($S559),"",OFFSET('Smelter Reference List'!$I$4,$S559-4,0))</f>
        <v/>
      </c>
      <c r="K559" s="295"/>
      <c r="L559" s="295"/>
      <c r="M559" s="295"/>
      <c r="N559" s="295"/>
      <c r="O559" s="295"/>
      <c r="P559" s="295"/>
      <c r="Q559" s="296"/>
      <c r="R559" s="227"/>
      <c r="S559" s="228" t="e">
        <f>IF(C559="",NA(),MATCH($B559&amp;$C559,'Smelter Reference List'!$J:$J,0))</f>
        <v>#N/A</v>
      </c>
      <c r="T559" s="229"/>
      <c r="U559" s="229">
        <f t="shared" ca="1" si="18"/>
        <v>0</v>
      </c>
      <c r="V559" s="229"/>
      <c r="W559" s="229"/>
      <c r="Y559" s="223" t="str">
        <f t="shared" si="19"/>
        <v/>
      </c>
    </row>
    <row r="560" spans="1:25" s="223" customFormat="1" ht="20.25">
      <c r="A560" s="291"/>
      <c r="B560" s="292" t="str">
        <f>IF(LEN(A560)=0,"",INDEX('Smelter Reference List'!$A:$A,MATCH($A560,'Smelter Reference List'!$E:$E,0)))</f>
        <v/>
      </c>
      <c r="C560" s="298" t="str">
        <f>IF(LEN(A560)=0,"",INDEX('Smelter Reference List'!$C:$C,MATCH($A560,'Smelter Reference List'!$E:$E,0)))</f>
        <v/>
      </c>
      <c r="D560" s="292" t="str">
        <f ca="1">IF(ISERROR($S560),"",OFFSET('Smelter Reference List'!$C$4,$S560-4,0)&amp;"")</f>
        <v/>
      </c>
      <c r="E560" s="292" t="str">
        <f ca="1">IF(ISERROR($S560),"",OFFSET('Smelter Reference List'!$D$4,$S560-4,0)&amp;"")</f>
        <v/>
      </c>
      <c r="F560" s="292" t="str">
        <f ca="1">IF(ISERROR($S560),"",OFFSET('Smelter Reference List'!$E$4,$S560-4,0))</f>
        <v/>
      </c>
      <c r="G560" s="292" t="str">
        <f ca="1">IF(C560=$U$4,"Enter smelter details", IF(ISERROR($S560),"",OFFSET('Smelter Reference List'!$F$4,$S560-4,0)))</f>
        <v/>
      </c>
      <c r="H560" s="293" t="str">
        <f ca="1">IF(ISERROR($S560),"",OFFSET('Smelter Reference List'!$G$4,$S560-4,0))</f>
        <v/>
      </c>
      <c r="I560" s="294" t="str">
        <f ca="1">IF(ISERROR($S560),"",OFFSET('Smelter Reference List'!$H$4,$S560-4,0))</f>
        <v/>
      </c>
      <c r="J560" s="294" t="str">
        <f ca="1">IF(ISERROR($S560),"",OFFSET('Smelter Reference List'!$I$4,$S560-4,0))</f>
        <v/>
      </c>
      <c r="K560" s="295"/>
      <c r="L560" s="295"/>
      <c r="M560" s="295"/>
      <c r="N560" s="295"/>
      <c r="O560" s="295"/>
      <c r="P560" s="295"/>
      <c r="Q560" s="296"/>
      <c r="R560" s="227"/>
      <c r="S560" s="228" t="e">
        <f>IF(C560="",NA(),MATCH($B560&amp;$C560,'Smelter Reference List'!$J:$J,0))</f>
        <v>#N/A</v>
      </c>
      <c r="T560" s="229"/>
      <c r="U560" s="229">
        <f t="shared" ca="1" si="18"/>
        <v>0</v>
      </c>
      <c r="V560" s="229"/>
      <c r="W560" s="229"/>
      <c r="Y560" s="223" t="str">
        <f t="shared" si="19"/>
        <v/>
      </c>
    </row>
    <row r="561" spans="1:25" s="223" customFormat="1" ht="20.25">
      <c r="A561" s="291"/>
      <c r="B561" s="292" t="str">
        <f>IF(LEN(A561)=0,"",INDEX('Smelter Reference List'!$A:$A,MATCH($A561,'Smelter Reference List'!$E:$E,0)))</f>
        <v/>
      </c>
      <c r="C561" s="298" t="str">
        <f>IF(LEN(A561)=0,"",INDEX('Smelter Reference List'!$C:$C,MATCH($A561,'Smelter Reference List'!$E:$E,0)))</f>
        <v/>
      </c>
      <c r="D561" s="292" t="str">
        <f ca="1">IF(ISERROR($S561),"",OFFSET('Smelter Reference List'!$C$4,$S561-4,0)&amp;"")</f>
        <v/>
      </c>
      <c r="E561" s="292" t="str">
        <f ca="1">IF(ISERROR($S561),"",OFFSET('Smelter Reference List'!$D$4,$S561-4,0)&amp;"")</f>
        <v/>
      </c>
      <c r="F561" s="292" t="str">
        <f ca="1">IF(ISERROR($S561),"",OFFSET('Smelter Reference List'!$E$4,$S561-4,0))</f>
        <v/>
      </c>
      <c r="G561" s="292" t="str">
        <f ca="1">IF(C561=$U$4,"Enter smelter details", IF(ISERROR($S561),"",OFFSET('Smelter Reference List'!$F$4,$S561-4,0)))</f>
        <v/>
      </c>
      <c r="H561" s="293" t="str">
        <f ca="1">IF(ISERROR($S561),"",OFFSET('Smelter Reference List'!$G$4,$S561-4,0))</f>
        <v/>
      </c>
      <c r="I561" s="294" t="str">
        <f ca="1">IF(ISERROR($S561),"",OFFSET('Smelter Reference List'!$H$4,$S561-4,0))</f>
        <v/>
      </c>
      <c r="J561" s="294" t="str">
        <f ca="1">IF(ISERROR($S561),"",OFFSET('Smelter Reference List'!$I$4,$S561-4,0))</f>
        <v/>
      </c>
      <c r="K561" s="295"/>
      <c r="L561" s="295"/>
      <c r="M561" s="295"/>
      <c r="N561" s="295"/>
      <c r="O561" s="295"/>
      <c r="P561" s="295"/>
      <c r="Q561" s="296"/>
      <c r="R561" s="227"/>
      <c r="S561" s="228" t="e">
        <f>IF(C561="",NA(),MATCH($B561&amp;$C561,'Smelter Reference List'!$J:$J,0))</f>
        <v>#N/A</v>
      </c>
      <c r="T561" s="229"/>
      <c r="U561" s="229">
        <f t="shared" ca="1" si="18"/>
        <v>0</v>
      </c>
      <c r="V561" s="229"/>
      <c r="W561" s="229"/>
      <c r="Y561" s="223" t="str">
        <f t="shared" si="19"/>
        <v/>
      </c>
    </row>
    <row r="562" spans="1:25" s="223" customFormat="1" ht="20.25">
      <c r="A562" s="291"/>
      <c r="B562" s="292" t="str">
        <f>IF(LEN(A562)=0,"",INDEX('Smelter Reference List'!$A:$A,MATCH($A562,'Smelter Reference List'!$E:$E,0)))</f>
        <v/>
      </c>
      <c r="C562" s="298" t="str">
        <f>IF(LEN(A562)=0,"",INDEX('Smelter Reference List'!$C:$C,MATCH($A562,'Smelter Reference List'!$E:$E,0)))</f>
        <v/>
      </c>
      <c r="D562" s="292" t="str">
        <f ca="1">IF(ISERROR($S562),"",OFFSET('Smelter Reference List'!$C$4,$S562-4,0)&amp;"")</f>
        <v/>
      </c>
      <c r="E562" s="292" t="str">
        <f ca="1">IF(ISERROR($S562),"",OFFSET('Smelter Reference List'!$D$4,$S562-4,0)&amp;"")</f>
        <v/>
      </c>
      <c r="F562" s="292" t="str">
        <f ca="1">IF(ISERROR($S562),"",OFFSET('Smelter Reference List'!$E$4,$S562-4,0))</f>
        <v/>
      </c>
      <c r="G562" s="292" t="str">
        <f ca="1">IF(C562=$U$4,"Enter smelter details", IF(ISERROR($S562),"",OFFSET('Smelter Reference List'!$F$4,$S562-4,0)))</f>
        <v/>
      </c>
      <c r="H562" s="293" t="str">
        <f ca="1">IF(ISERROR($S562),"",OFFSET('Smelter Reference List'!$G$4,$S562-4,0))</f>
        <v/>
      </c>
      <c r="I562" s="294" t="str">
        <f ca="1">IF(ISERROR($S562),"",OFFSET('Smelter Reference List'!$H$4,$S562-4,0))</f>
        <v/>
      </c>
      <c r="J562" s="294" t="str">
        <f ca="1">IF(ISERROR($S562),"",OFFSET('Smelter Reference List'!$I$4,$S562-4,0))</f>
        <v/>
      </c>
      <c r="K562" s="295"/>
      <c r="L562" s="295"/>
      <c r="M562" s="295"/>
      <c r="N562" s="295"/>
      <c r="O562" s="295"/>
      <c r="P562" s="295"/>
      <c r="Q562" s="296"/>
      <c r="R562" s="227"/>
      <c r="S562" s="228" t="e">
        <f>IF(C562="",NA(),MATCH($B562&amp;$C562,'Smelter Reference List'!$J:$J,0))</f>
        <v>#N/A</v>
      </c>
      <c r="T562" s="229"/>
      <c r="U562" s="229">
        <f t="shared" ca="1" si="18"/>
        <v>0</v>
      </c>
      <c r="V562" s="229"/>
      <c r="W562" s="229"/>
      <c r="Y562" s="223" t="str">
        <f t="shared" si="19"/>
        <v/>
      </c>
    </row>
    <row r="563" spans="1:25" s="223" customFormat="1" ht="20.25">
      <c r="A563" s="291"/>
      <c r="B563" s="292" t="str">
        <f>IF(LEN(A563)=0,"",INDEX('Smelter Reference List'!$A:$A,MATCH($A563,'Smelter Reference List'!$E:$E,0)))</f>
        <v/>
      </c>
      <c r="C563" s="298" t="str">
        <f>IF(LEN(A563)=0,"",INDEX('Smelter Reference List'!$C:$C,MATCH($A563,'Smelter Reference List'!$E:$E,0)))</f>
        <v/>
      </c>
      <c r="D563" s="292" t="str">
        <f ca="1">IF(ISERROR($S563),"",OFFSET('Smelter Reference List'!$C$4,$S563-4,0)&amp;"")</f>
        <v/>
      </c>
      <c r="E563" s="292" t="str">
        <f ca="1">IF(ISERROR($S563),"",OFFSET('Smelter Reference List'!$D$4,$S563-4,0)&amp;"")</f>
        <v/>
      </c>
      <c r="F563" s="292" t="str">
        <f ca="1">IF(ISERROR($S563),"",OFFSET('Smelter Reference List'!$E$4,$S563-4,0))</f>
        <v/>
      </c>
      <c r="G563" s="292" t="str">
        <f ca="1">IF(C563=$U$4,"Enter smelter details", IF(ISERROR($S563),"",OFFSET('Smelter Reference List'!$F$4,$S563-4,0)))</f>
        <v/>
      </c>
      <c r="H563" s="293" t="str">
        <f ca="1">IF(ISERROR($S563),"",OFFSET('Smelter Reference List'!$G$4,$S563-4,0))</f>
        <v/>
      </c>
      <c r="I563" s="294" t="str">
        <f ca="1">IF(ISERROR($S563),"",OFFSET('Smelter Reference List'!$H$4,$S563-4,0))</f>
        <v/>
      </c>
      <c r="J563" s="294" t="str">
        <f ca="1">IF(ISERROR($S563),"",OFFSET('Smelter Reference List'!$I$4,$S563-4,0))</f>
        <v/>
      </c>
      <c r="K563" s="295"/>
      <c r="L563" s="295"/>
      <c r="M563" s="295"/>
      <c r="N563" s="295"/>
      <c r="O563" s="295"/>
      <c r="P563" s="295"/>
      <c r="Q563" s="296"/>
      <c r="R563" s="227"/>
      <c r="S563" s="228" t="e">
        <f>IF(C563="",NA(),MATCH($B563&amp;$C563,'Smelter Reference List'!$J:$J,0))</f>
        <v>#N/A</v>
      </c>
      <c r="T563" s="229"/>
      <c r="U563" s="229">
        <f t="shared" ca="1" si="18"/>
        <v>0</v>
      </c>
      <c r="V563" s="229"/>
      <c r="W563" s="229"/>
      <c r="Y563" s="223" t="str">
        <f t="shared" si="19"/>
        <v/>
      </c>
    </row>
    <row r="564" spans="1:25" s="223" customFormat="1" ht="20.25">
      <c r="A564" s="291"/>
      <c r="B564" s="292" t="str">
        <f>IF(LEN(A564)=0,"",INDEX('Smelter Reference List'!$A:$A,MATCH($A564,'Smelter Reference List'!$E:$E,0)))</f>
        <v/>
      </c>
      <c r="C564" s="298" t="str">
        <f>IF(LEN(A564)=0,"",INDEX('Smelter Reference List'!$C:$C,MATCH($A564,'Smelter Reference List'!$E:$E,0)))</f>
        <v/>
      </c>
      <c r="D564" s="292" t="str">
        <f ca="1">IF(ISERROR($S564),"",OFFSET('Smelter Reference List'!$C$4,$S564-4,0)&amp;"")</f>
        <v/>
      </c>
      <c r="E564" s="292" t="str">
        <f ca="1">IF(ISERROR($S564),"",OFFSET('Smelter Reference List'!$D$4,$S564-4,0)&amp;"")</f>
        <v/>
      </c>
      <c r="F564" s="292" t="str">
        <f ca="1">IF(ISERROR($S564),"",OFFSET('Smelter Reference List'!$E$4,$S564-4,0))</f>
        <v/>
      </c>
      <c r="G564" s="292" t="str">
        <f ca="1">IF(C564=$U$4,"Enter smelter details", IF(ISERROR($S564),"",OFFSET('Smelter Reference List'!$F$4,$S564-4,0)))</f>
        <v/>
      </c>
      <c r="H564" s="293" t="str">
        <f ca="1">IF(ISERROR($S564),"",OFFSET('Smelter Reference List'!$G$4,$S564-4,0))</f>
        <v/>
      </c>
      <c r="I564" s="294" t="str">
        <f ca="1">IF(ISERROR($S564),"",OFFSET('Smelter Reference List'!$H$4,$S564-4,0))</f>
        <v/>
      </c>
      <c r="J564" s="294" t="str">
        <f ca="1">IF(ISERROR($S564),"",OFFSET('Smelter Reference List'!$I$4,$S564-4,0))</f>
        <v/>
      </c>
      <c r="K564" s="295"/>
      <c r="L564" s="295"/>
      <c r="M564" s="295"/>
      <c r="N564" s="295"/>
      <c r="O564" s="295"/>
      <c r="P564" s="295"/>
      <c r="Q564" s="296"/>
      <c r="R564" s="227"/>
      <c r="S564" s="228" t="e">
        <f>IF(C564="",NA(),MATCH($B564&amp;$C564,'Smelter Reference List'!$J:$J,0))</f>
        <v>#N/A</v>
      </c>
      <c r="T564" s="229"/>
      <c r="U564" s="229">
        <f t="shared" ca="1" si="18"/>
        <v>0</v>
      </c>
      <c r="V564" s="229"/>
      <c r="W564" s="229"/>
      <c r="Y564" s="223" t="str">
        <f t="shared" si="19"/>
        <v/>
      </c>
    </row>
    <row r="565" spans="1:25" s="223" customFormat="1" ht="20.25">
      <c r="A565" s="291"/>
      <c r="B565" s="292" t="str">
        <f>IF(LEN(A565)=0,"",INDEX('Smelter Reference List'!$A:$A,MATCH($A565,'Smelter Reference List'!$E:$E,0)))</f>
        <v/>
      </c>
      <c r="C565" s="298" t="str">
        <f>IF(LEN(A565)=0,"",INDEX('Smelter Reference List'!$C:$C,MATCH($A565,'Smelter Reference List'!$E:$E,0)))</f>
        <v/>
      </c>
      <c r="D565" s="292" t="str">
        <f ca="1">IF(ISERROR($S565),"",OFFSET('Smelter Reference List'!$C$4,$S565-4,0)&amp;"")</f>
        <v/>
      </c>
      <c r="E565" s="292" t="str">
        <f ca="1">IF(ISERROR($S565),"",OFFSET('Smelter Reference List'!$D$4,$S565-4,0)&amp;"")</f>
        <v/>
      </c>
      <c r="F565" s="292" t="str">
        <f ca="1">IF(ISERROR($S565),"",OFFSET('Smelter Reference List'!$E$4,$S565-4,0))</f>
        <v/>
      </c>
      <c r="G565" s="292" t="str">
        <f ca="1">IF(C565=$U$4,"Enter smelter details", IF(ISERROR($S565),"",OFFSET('Smelter Reference List'!$F$4,$S565-4,0)))</f>
        <v/>
      </c>
      <c r="H565" s="293" t="str">
        <f ca="1">IF(ISERROR($S565),"",OFFSET('Smelter Reference List'!$G$4,$S565-4,0))</f>
        <v/>
      </c>
      <c r="I565" s="294" t="str">
        <f ca="1">IF(ISERROR($S565),"",OFFSET('Smelter Reference List'!$H$4,$S565-4,0))</f>
        <v/>
      </c>
      <c r="J565" s="294" t="str">
        <f ca="1">IF(ISERROR($S565),"",OFFSET('Smelter Reference List'!$I$4,$S565-4,0))</f>
        <v/>
      </c>
      <c r="K565" s="295"/>
      <c r="L565" s="295"/>
      <c r="M565" s="295"/>
      <c r="N565" s="295"/>
      <c r="O565" s="295"/>
      <c r="P565" s="295"/>
      <c r="Q565" s="296"/>
      <c r="R565" s="227"/>
      <c r="S565" s="228" t="e">
        <f>IF(C565="",NA(),MATCH($B565&amp;$C565,'Smelter Reference List'!$J:$J,0))</f>
        <v>#N/A</v>
      </c>
      <c r="T565" s="229"/>
      <c r="U565" s="229">
        <f t="shared" ca="1" si="18"/>
        <v>0</v>
      </c>
      <c r="V565" s="229"/>
      <c r="W565" s="229"/>
      <c r="Y565" s="223" t="str">
        <f t="shared" si="19"/>
        <v/>
      </c>
    </row>
    <row r="566" spans="1:25" s="223" customFormat="1" ht="20.25">
      <c r="A566" s="291"/>
      <c r="B566" s="292" t="str">
        <f>IF(LEN(A566)=0,"",INDEX('Smelter Reference List'!$A:$A,MATCH($A566,'Smelter Reference List'!$E:$E,0)))</f>
        <v/>
      </c>
      <c r="C566" s="298" t="str">
        <f>IF(LEN(A566)=0,"",INDEX('Smelter Reference List'!$C:$C,MATCH($A566,'Smelter Reference List'!$E:$E,0)))</f>
        <v/>
      </c>
      <c r="D566" s="292" t="str">
        <f ca="1">IF(ISERROR($S566),"",OFFSET('Smelter Reference List'!$C$4,$S566-4,0)&amp;"")</f>
        <v/>
      </c>
      <c r="E566" s="292" t="str">
        <f ca="1">IF(ISERROR($S566),"",OFFSET('Smelter Reference List'!$D$4,$S566-4,0)&amp;"")</f>
        <v/>
      </c>
      <c r="F566" s="292" t="str">
        <f ca="1">IF(ISERROR($S566),"",OFFSET('Smelter Reference List'!$E$4,$S566-4,0))</f>
        <v/>
      </c>
      <c r="G566" s="292" t="str">
        <f ca="1">IF(C566=$U$4,"Enter smelter details", IF(ISERROR($S566),"",OFFSET('Smelter Reference List'!$F$4,$S566-4,0)))</f>
        <v/>
      </c>
      <c r="H566" s="293" t="str">
        <f ca="1">IF(ISERROR($S566),"",OFFSET('Smelter Reference List'!$G$4,$S566-4,0))</f>
        <v/>
      </c>
      <c r="I566" s="294" t="str">
        <f ca="1">IF(ISERROR($S566),"",OFFSET('Smelter Reference List'!$H$4,$S566-4,0))</f>
        <v/>
      </c>
      <c r="J566" s="294" t="str">
        <f ca="1">IF(ISERROR($S566),"",OFFSET('Smelter Reference List'!$I$4,$S566-4,0))</f>
        <v/>
      </c>
      <c r="K566" s="295"/>
      <c r="L566" s="295"/>
      <c r="M566" s="295"/>
      <c r="N566" s="295"/>
      <c r="O566" s="295"/>
      <c r="P566" s="295"/>
      <c r="Q566" s="296"/>
      <c r="R566" s="227"/>
      <c r="S566" s="228" t="e">
        <f>IF(C566="",NA(),MATCH($B566&amp;$C566,'Smelter Reference List'!$J:$J,0))</f>
        <v>#N/A</v>
      </c>
      <c r="T566" s="229"/>
      <c r="U566" s="229">
        <f t="shared" ca="1" si="18"/>
        <v>0</v>
      </c>
      <c r="V566" s="229"/>
      <c r="W566" s="229"/>
      <c r="Y566" s="223" t="str">
        <f t="shared" si="19"/>
        <v/>
      </c>
    </row>
    <row r="567" spans="1:25" s="223" customFormat="1" ht="20.25">
      <c r="A567" s="291"/>
      <c r="B567" s="292" t="str">
        <f>IF(LEN(A567)=0,"",INDEX('Smelter Reference List'!$A:$A,MATCH($A567,'Smelter Reference List'!$E:$E,0)))</f>
        <v/>
      </c>
      <c r="C567" s="298" t="str">
        <f>IF(LEN(A567)=0,"",INDEX('Smelter Reference List'!$C:$C,MATCH($A567,'Smelter Reference List'!$E:$E,0)))</f>
        <v/>
      </c>
      <c r="D567" s="292" t="str">
        <f ca="1">IF(ISERROR($S567),"",OFFSET('Smelter Reference List'!$C$4,$S567-4,0)&amp;"")</f>
        <v/>
      </c>
      <c r="E567" s="292" t="str">
        <f ca="1">IF(ISERROR($S567),"",OFFSET('Smelter Reference List'!$D$4,$S567-4,0)&amp;"")</f>
        <v/>
      </c>
      <c r="F567" s="292" t="str">
        <f ca="1">IF(ISERROR($S567),"",OFFSET('Smelter Reference List'!$E$4,$S567-4,0))</f>
        <v/>
      </c>
      <c r="G567" s="292" t="str">
        <f ca="1">IF(C567=$U$4,"Enter smelter details", IF(ISERROR($S567),"",OFFSET('Smelter Reference List'!$F$4,$S567-4,0)))</f>
        <v/>
      </c>
      <c r="H567" s="293" t="str">
        <f ca="1">IF(ISERROR($S567),"",OFFSET('Smelter Reference List'!$G$4,$S567-4,0))</f>
        <v/>
      </c>
      <c r="I567" s="294" t="str">
        <f ca="1">IF(ISERROR($S567),"",OFFSET('Smelter Reference List'!$H$4,$S567-4,0))</f>
        <v/>
      </c>
      <c r="J567" s="294" t="str">
        <f ca="1">IF(ISERROR($S567),"",OFFSET('Smelter Reference List'!$I$4,$S567-4,0))</f>
        <v/>
      </c>
      <c r="K567" s="295"/>
      <c r="L567" s="295"/>
      <c r="M567" s="295"/>
      <c r="N567" s="295"/>
      <c r="O567" s="295"/>
      <c r="P567" s="295"/>
      <c r="Q567" s="296"/>
      <c r="R567" s="227"/>
      <c r="S567" s="228" t="e">
        <f>IF(C567="",NA(),MATCH($B567&amp;$C567,'Smelter Reference List'!$J:$J,0))</f>
        <v>#N/A</v>
      </c>
      <c r="T567" s="229"/>
      <c r="U567" s="229">
        <f t="shared" ca="1" si="18"/>
        <v>0</v>
      </c>
      <c r="V567" s="229"/>
      <c r="W567" s="229"/>
      <c r="Y567" s="223" t="str">
        <f t="shared" si="19"/>
        <v/>
      </c>
    </row>
    <row r="568" spans="1:25" s="223" customFormat="1" ht="20.25">
      <c r="A568" s="291"/>
      <c r="B568" s="292" t="str">
        <f>IF(LEN(A568)=0,"",INDEX('Smelter Reference List'!$A:$A,MATCH($A568,'Smelter Reference List'!$E:$E,0)))</f>
        <v/>
      </c>
      <c r="C568" s="298" t="str">
        <f>IF(LEN(A568)=0,"",INDEX('Smelter Reference List'!$C:$C,MATCH($A568,'Smelter Reference List'!$E:$E,0)))</f>
        <v/>
      </c>
      <c r="D568" s="292" t="str">
        <f ca="1">IF(ISERROR($S568),"",OFFSET('Smelter Reference List'!$C$4,$S568-4,0)&amp;"")</f>
        <v/>
      </c>
      <c r="E568" s="292" t="str">
        <f ca="1">IF(ISERROR($S568),"",OFFSET('Smelter Reference List'!$D$4,$S568-4,0)&amp;"")</f>
        <v/>
      </c>
      <c r="F568" s="292" t="str">
        <f ca="1">IF(ISERROR($S568),"",OFFSET('Smelter Reference List'!$E$4,$S568-4,0))</f>
        <v/>
      </c>
      <c r="G568" s="292" t="str">
        <f ca="1">IF(C568=$U$4,"Enter smelter details", IF(ISERROR($S568),"",OFFSET('Smelter Reference List'!$F$4,$S568-4,0)))</f>
        <v/>
      </c>
      <c r="H568" s="293" t="str">
        <f ca="1">IF(ISERROR($S568),"",OFFSET('Smelter Reference List'!$G$4,$S568-4,0))</f>
        <v/>
      </c>
      <c r="I568" s="294" t="str">
        <f ca="1">IF(ISERROR($S568),"",OFFSET('Smelter Reference List'!$H$4,$S568-4,0))</f>
        <v/>
      </c>
      <c r="J568" s="294" t="str">
        <f ca="1">IF(ISERROR($S568),"",OFFSET('Smelter Reference List'!$I$4,$S568-4,0))</f>
        <v/>
      </c>
      <c r="K568" s="295"/>
      <c r="L568" s="295"/>
      <c r="M568" s="295"/>
      <c r="N568" s="295"/>
      <c r="O568" s="295"/>
      <c r="P568" s="295"/>
      <c r="Q568" s="296"/>
      <c r="R568" s="227"/>
      <c r="S568" s="228" t="e">
        <f>IF(C568="",NA(),MATCH($B568&amp;$C568,'Smelter Reference List'!$J:$J,0))</f>
        <v>#N/A</v>
      </c>
      <c r="T568" s="229"/>
      <c r="U568" s="229">
        <f t="shared" ca="1" si="18"/>
        <v>0</v>
      </c>
      <c r="V568" s="229"/>
      <c r="W568" s="229"/>
      <c r="Y568" s="223" t="str">
        <f t="shared" si="19"/>
        <v/>
      </c>
    </row>
    <row r="569" spans="1:25" s="223" customFormat="1" ht="20.25">
      <c r="A569" s="291"/>
      <c r="B569" s="292" t="str">
        <f>IF(LEN(A569)=0,"",INDEX('Smelter Reference List'!$A:$A,MATCH($A569,'Smelter Reference List'!$E:$E,0)))</f>
        <v/>
      </c>
      <c r="C569" s="298" t="str">
        <f>IF(LEN(A569)=0,"",INDEX('Smelter Reference List'!$C:$C,MATCH($A569,'Smelter Reference List'!$E:$E,0)))</f>
        <v/>
      </c>
      <c r="D569" s="292" t="str">
        <f ca="1">IF(ISERROR($S569),"",OFFSET('Smelter Reference List'!$C$4,$S569-4,0)&amp;"")</f>
        <v/>
      </c>
      <c r="E569" s="292" t="str">
        <f ca="1">IF(ISERROR($S569),"",OFFSET('Smelter Reference List'!$D$4,$S569-4,0)&amp;"")</f>
        <v/>
      </c>
      <c r="F569" s="292" t="str">
        <f ca="1">IF(ISERROR($S569),"",OFFSET('Smelter Reference List'!$E$4,$S569-4,0))</f>
        <v/>
      </c>
      <c r="G569" s="292" t="str">
        <f ca="1">IF(C569=$U$4,"Enter smelter details", IF(ISERROR($S569),"",OFFSET('Smelter Reference List'!$F$4,$S569-4,0)))</f>
        <v/>
      </c>
      <c r="H569" s="293" t="str">
        <f ca="1">IF(ISERROR($S569),"",OFFSET('Smelter Reference List'!$G$4,$S569-4,0))</f>
        <v/>
      </c>
      <c r="I569" s="294" t="str">
        <f ca="1">IF(ISERROR($S569),"",OFFSET('Smelter Reference List'!$H$4,$S569-4,0))</f>
        <v/>
      </c>
      <c r="J569" s="294" t="str">
        <f ca="1">IF(ISERROR($S569),"",OFFSET('Smelter Reference List'!$I$4,$S569-4,0))</f>
        <v/>
      </c>
      <c r="K569" s="295"/>
      <c r="L569" s="295"/>
      <c r="M569" s="295"/>
      <c r="N569" s="295"/>
      <c r="O569" s="295"/>
      <c r="P569" s="295"/>
      <c r="Q569" s="296"/>
      <c r="R569" s="227"/>
      <c r="S569" s="228" t="e">
        <f>IF(C569="",NA(),MATCH($B569&amp;$C569,'Smelter Reference List'!$J:$J,0))</f>
        <v>#N/A</v>
      </c>
      <c r="T569" s="229"/>
      <c r="U569" s="229">
        <f t="shared" ca="1" si="18"/>
        <v>0</v>
      </c>
      <c r="V569" s="229"/>
      <c r="W569" s="229"/>
      <c r="Y569" s="223" t="str">
        <f t="shared" si="19"/>
        <v/>
      </c>
    </row>
    <row r="570" spans="1:25" s="223" customFormat="1" ht="20.25">
      <c r="A570" s="291"/>
      <c r="B570" s="292" t="str">
        <f>IF(LEN(A570)=0,"",INDEX('Smelter Reference List'!$A:$A,MATCH($A570,'Smelter Reference List'!$E:$E,0)))</f>
        <v/>
      </c>
      <c r="C570" s="298" t="str">
        <f>IF(LEN(A570)=0,"",INDEX('Smelter Reference List'!$C:$C,MATCH($A570,'Smelter Reference List'!$E:$E,0)))</f>
        <v/>
      </c>
      <c r="D570" s="292" t="str">
        <f ca="1">IF(ISERROR($S570),"",OFFSET('Smelter Reference List'!$C$4,$S570-4,0)&amp;"")</f>
        <v/>
      </c>
      <c r="E570" s="292" t="str">
        <f ca="1">IF(ISERROR($S570),"",OFFSET('Smelter Reference List'!$D$4,$S570-4,0)&amp;"")</f>
        <v/>
      </c>
      <c r="F570" s="292" t="str">
        <f ca="1">IF(ISERROR($S570),"",OFFSET('Smelter Reference List'!$E$4,$S570-4,0))</f>
        <v/>
      </c>
      <c r="G570" s="292" t="str">
        <f ca="1">IF(C570=$U$4,"Enter smelter details", IF(ISERROR($S570),"",OFFSET('Smelter Reference List'!$F$4,$S570-4,0)))</f>
        <v/>
      </c>
      <c r="H570" s="293" t="str">
        <f ca="1">IF(ISERROR($S570),"",OFFSET('Smelter Reference List'!$G$4,$S570-4,0))</f>
        <v/>
      </c>
      <c r="I570" s="294" t="str">
        <f ca="1">IF(ISERROR($S570),"",OFFSET('Smelter Reference List'!$H$4,$S570-4,0))</f>
        <v/>
      </c>
      <c r="J570" s="294" t="str">
        <f ca="1">IF(ISERROR($S570),"",OFFSET('Smelter Reference List'!$I$4,$S570-4,0))</f>
        <v/>
      </c>
      <c r="K570" s="295"/>
      <c r="L570" s="295"/>
      <c r="M570" s="295"/>
      <c r="N570" s="295"/>
      <c r="O570" s="295"/>
      <c r="P570" s="295"/>
      <c r="Q570" s="296"/>
      <c r="R570" s="227"/>
      <c r="S570" s="228" t="e">
        <f>IF(C570="",NA(),MATCH($B570&amp;$C570,'Smelter Reference List'!$J:$J,0))</f>
        <v>#N/A</v>
      </c>
      <c r="T570" s="229"/>
      <c r="U570" s="229">
        <f t="shared" ca="1" si="18"/>
        <v>0</v>
      </c>
      <c r="V570" s="229"/>
      <c r="W570" s="229"/>
      <c r="Y570" s="223" t="str">
        <f t="shared" si="19"/>
        <v/>
      </c>
    </row>
    <row r="571" spans="1:25" s="223" customFormat="1" ht="20.25">
      <c r="A571" s="291"/>
      <c r="B571" s="292" t="str">
        <f>IF(LEN(A571)=0,"",INDEX('Smelter Reference List'!$A:$A,MATCH($A571,'Smelter Reference List'!$E:$E,0)))</f>
        <v/>
      </c>
      <c r="C571" s="298" t="str">
        <f>IF(LEN(A571)=0,"",INDEX('Smelter Reference List'!$C:$C,MATCH($A571,'Smelter Reference List'!$E:$E,0)))</f>
        <v/>
      </c>
      <c r="D571" s="292" t="str">
        <f ca="1">IF(ISERROR($S571),"",OFFSET('Smelter Reference List'!$C$4,$S571-4,0)&amp;"")</f>
        <v/>
      </c>
      <c r="E571" s="292" t="str">
        <f ca="1">IF(ISERROR($S571),"",OFFSET('Smelter Reference List'!$D$4,$S571-4,0)&amp;"")</f>
        <v/>
      </c>
      <c r="F571" s="292" t="str">
        <f ca="1">IF(ISERROR($S571),"",OFFSET('Smelter Reference List'!$E$4,$S571-4,0))</f>
        <v/>
      </c>
      <c r="G571" s="292" t="str">
        <f ca="1">IF(C571=$U$4,"Enter smelter details", IF(ISERROR($S571),"",OFFSET('Smelter Reference List'!$F$4,$S571-4,0)))</f>
        <v/>
      </c>
      <c r="H571" s="293" t="str">
        <f ca="1">IF(ISERROR($S571),"",OFFSET('Smelter Reference List'!$G$4,$S571-4,0))</f>
        <v/>
      </c>
      <c r="I571" s="294" t="str">
        <f ca="1">IF(ISERROR($S571),"",OFFSET('Smelter Reference List'!$H$4,$S571-4,0))</f>
        <v/>
      </c>
      <c r="J571" s="294" t="str">
        <f ca="1">IF(ISERROR($S571),"",OFFSET('Smelter Reference List'!$I$4,$S571-4,0))</f>
        <v/>
      </c>
      <c r="K571" s="295"/>
      <c r="L571" s="295"/>
      <c r="M571" s="295"/>
      <c r="N571" s="295"/>
      <c r="O571" s="295"/>
      <c r="P571" s="295"/>
      <c r="Q571" s="296"/>
      <c r="R571" s="227"/>
      <c r="S571" s="228" t="e">
        <f>IF(C571="",NA(),MATCH($B571&amp;$C571,'Smelter Reference List'!$J:$J,0))</f>
        <v>#N/A</v>
      </c>
      <c r="T571" s="229"/>
      <c r="U571" s="229">
        <f t="shared" ca="1" si="18"/>
        <v>0</v>
      </c>
      <c r="V571" s="229"/>
      <c r="W571" s="229"/>
      <c r="Y571" s="223" t="str">
        <f t="shared" si="19"/>
        <v/>
      </c>
    </row>
    <row r="572" spans="1:25" s="223" customFormat="1" ht="20.25">
      <c r="A572" s="291"/>
      <c r="B572" s="292" t="str">
        <f>IF(LEN(A572)=0,"",INDEX('Smelter Reference List'!$A:$A,MATCH($A572,'Smelter Reference List'!$E:$E,0)))</f>
        <v/>
      </c>
      <c r="C572" s="298" t="str">
        <f>IF(LEN(A572)=0,"",INDEX('Smelter Reference List'!$C:$C,MATCH($A572,'Smelter Reference List'!$E:$E,0)))</f>
        <v/>
      </c>
      <c r="D572" s="292" t="str">
        <f ca="1">IF(ISERROR($S572),"",OFFSET('Smelter Reference List'!$C$4,$S572-4,0)&amp;"")</f>
        <v/>
      </c>
      <c r="E572" s="292" t="str">
        <f ca="1">IF(ISERROR($S572),"",OFFSET('Smelter Reference List'!$D$4,$S572-4,0)&amp;"")</f>
        <v/>
      </c>
      <c r="F572" s="292" t="str">
        <f ca="1">IF(ISERROR($S572),"",OFFSET('Smelter Reference List'!$E$4,$S572-4,0))</f>
        <v/>
      </c>
      <c r="G572" s="292" t="str">
        <f ca="1">IF(C572=$U$4,"Enter smelter details", IF(ISERROR($S572),"",OFFSET('Smelter Reference List'!$F$4,$S572-4,0)))</f>
        <v/>
      </c>
      <c r="H572" s="293" t="str">
        <f ca="1">IF(ISERROR($S572),"",OFFSET('Smelter Reference List'!$G$4,$S572-4,0))</f>
        <v/>
      </c>
      <c r="I572" s="294" t="str">
        <f ca="1">IF(ISERROR($S572),"",OFFSET('Smelter Reference List'!$H$4,$S572-4,0))</f>
        <v/>
      </c>
      <c r="J572" s="294" t="str">
        <f ca="1">IF(ISERROR($S572),"",OFFSET('Smelter Reference List'!$I$4,$S572-4,0))</f>
        <v/>
      </c>
      <c r="K572" s="295"/>
      <c r="L572" s="295"/>
      <c r="M572" s="295"/>
      <c r="N572" s="295"/>
      <c r="O572" s="295"/>
      <c r="P572" s="295"/>
      <c r="Q572" s="296"/>
      <c r="R572" s="227"/>
      <c r="S572" s="228" t="e">
        <f>IF(C572="",NA(),MATCH($B572&amp;$C572,'Smelter Reference List'!$J:$J,0))</f>
        <v>#N/A</v>
      </c>
      <c r="T572" s="229"/>
      <c r="U572" s="229">
        <f t="shared" ca="1" si="18"/>
        <v>0</v>
      </c>
      <c r="V572" s="229"/>
      <c r="W572" s="229"/>
      <c r="Y572" s="223" t="str">
        <f t="shared" si="19"/>
        <v/>
      </c>
    </row>
    <row r="573" spans="1:25" s="223" customFormat="1" ht="20.25">
      <c r="A573" s="291"/>
      <c r="B573" s="292" t="str">
        <f>IF(LEN(A573)=0,"",INDEX('Smelter Reference List'!$A:$A,MATCH($A573,'Smelter Reference List'!$E:$E,0)))</f>
        <v/>
      </c>
      <c r="C573" s="298" t="str">
        <f>IF(LEN(A573)=0,"",INDEX('Smelter Reference List'!$C:$C,MATCH($A573,'Smelter Reference List'!$E:$E,0)))</f>
        <v/>
      </c>
      <c r="D573" s="292" t="str">
        <f ca="1">IF(ISERROR($S573),"",OFFSET('Smelter Reference List'!$C$4,$S573-4,0)&amp;"")</f>
        <v/>
      </c>
      <c r="E573" s="292" t="str">
        <f ca="1">IF(ISERROR($S573),"",OFFSET('Smelter Reference List'!$D$4,$S573-4,0)&amp;"")</f>
        <v/>
      </c>
      <c r="F573" s="292" t="str">
        <f ca="1">IF(ISERROR($S573),"",OFFSET('Smelter Reference List'!$E$4,$S573-4,0))</f>
        <v/>
      </c>
      <c r="G573" s="292" t="str">
        <f ca="1">IF(C573=$U$4,"Enter smelter details", IF(ISERROR($S573),"",OFFSET('Smelter Reference List'!$F$4,$S573-4,0)))</f>
        <v/>
      </c>
      <c r="H573" s="293" t="str">
        <f ca="1">IF(ISERROR($S573),"",OFFSET('Smelter Reference List'!$G$4,$S573-4,0))</f>
        <v/>
      </c>
      <c r="I573" s="294" t="str">
        <f ca="1">IF(ISERROR($S573),"",OFFSET('Smelter Reference List'!$H$4,$S573-4,0))</f>
        <v/>
      </c>
      <c r="J573" s="294" t="str">
        <f ca="1">IF(ISERROR($S573),"",OFFSET('Smelter Reference List'!$I$4,$S573-4,0))</f>
        <v/>
      </c>
      <c r="K573" s="295"/>
      <c r="L573" s="295"/>
      <c r="M573" s="295"/>
      <c r="N573" s="295"/>
      <c r="O573" s="295"/>
      <c r="P573" s="295"/>
      <c r="Q573" s="296"/>
      <c r="R573" s="227"/>
      <c r="S573" s="228" t="e">
        <f>IF(C573="",NA(),MATCH($B573&amp;$C573,'Smelter Reference List'!$J:$J,0))</f>
        <v>#N/A</v>
      </c>
      <c r="T573" s="229"/>
      <c r="U573" s="229">
        <f t="shared" ca="1" si="18"/>
        <v>0</v>
      </c>
      <c r="V573" s="229"/>
      <c r="W573" s="229"/>
      <c r="Y573" s="223" t="str">
        <f t="shared" si="19"/>
        <v/>
      </c>
    </row>
    <row r="574" spans="1:25" s="223" customFormat="1" ht="20.25">
      <c r="A574" s="291"/>
      <c r="B574" s="292" t="str">
        <f>IF(LEN(A574)=0,"",INDEX('Smelter Reference List'!$A:$A,MATCH($A574,'Smelter Reference List'!$E:$E,0)))</f>
        <v/>
      </c>
      <c r="C574" s="298" t="str">
        <f>IF(LEN(A574)=0,"",INDEX('Smelter Reference List'!$C:$C,MATCH($A574,'Smelter Reference List'!$E:$E,0)))</f>
        <v/>
      </c>
      <c r="D574" s="292" t="str">
        <f ca="1">IF(ISERROR($S574),"",OFFSET('Smelter Reference List'!$C$4,$S574-4,0)&amp;"")</f>
        <v/>
      </c>
      <c r="E574" s="292" t="str">
        <f ca="1">IF(ISERROR($S574),"",OFFSET('Smelter Reference List'!$D$4,$S574-4,0)&amp;"")</f>
        <v/>
      </c>
      <c r="F574" s="292" t="str">
        <f ca="1">IF(ISERROR($S574),"",OFFSET('Smelter Reference List'!$E$4,$S574-4,0))</f>
        <v/>
      </c>
      <c r="G574" s="292" t="str">
        <f ca="1">IF(C574=$U$4,"Enter smelter details", IF(ISERROR($S574),"",OFFSET('Smelter Reference List'!$F$4,$S574-4,0)))</f>
        <v/>
      </c>
      <c r="H574" s="293" t="str">
        <f ca="1">IF(ISERROR($S574),"",OFFSET('Smelter Reference List'!$G$4,$S574-4,0))</f>
        <v/>
      </c>
      <c r="I574" s="294" t="str">
        <f ca="1">IF(ISERROR($S574),"",OFFSET('Smelter Reference List'!$H$4,$S574-4,0))</f>
        <v/>
      </c>
      <c r="J574" s="294" t="str">
        <f ca="1">IF(ISERROR($S574),"",OFFSET('Smelter Reference List'!$I$4,$S574-4,0))</f>
        <v/>
      </c>
      <c r="K574" s="295"/>
      <c r="L574" s="295"/>
      <c r="M574" s="295"/>
      <c r="N574" s="295"/>
      <c r="O574" s="295"/>
      <c r="P574" s="295"/>
      <c r="Q574" s="296"/>
      <c r="R574" s="227"/>
      <c r="S574" s="228" t="e">
        <f>IF(C574="",NA(),MATCH($B574&amp;$C574,'Smelter Reference List'!$J:$J,0))</f>
        <v>#N/A</v>
      </c>
      <c r="T574" s="229"/>
      <c r="U574" s="229">
        <f t="shared" ca="1" si="18"/>
        <v>0</v>
      </c>
      <c r="V574" s="229"/>
      <c r="W574" s="229"/>
      <c r="Y574" s="223" t="str">
        <f t="shared" si="19"/>
        <v/>
      </c>
    </row>
    <row r="575" spans="1:25" s="223" customFormat="1" ht="20.25">
      <c r="A575" s="291"/>
      <c r="B575" s="292" t="str">
        <f>IF(LEN(A575)=0,"",INDEX('Smelter Reference List'!$A:$A,MATCH($A575,'Smelter Reference List'!$E:$E,0)))</f>
        <v/>
      </c>
      <c r="C575" s="298" t="str">
        <f>IF(LEN(A575)=0,"",INDEX('Smelter Reference List'!$C:$C,MATCH($A575,'Smelter Reference List'!$E:$E,0)))</f>
        <v/>
      </c>
      <c r="D575" s="292" t="str">
        <f ca="1">IF(ISERROR($S575),"",OFFSET('Smelter Reference List'!$C$4,$S575-4,0)&amp;"")</f>
        <v/>
      </c>
      <c r="E575" s="292" t="str">
        <f ca="1">IF(ISERROR($S575),"",OFFSET('Smelter Reference List'!$D$4,$S575-4,0)&amp;"")</f>
        <v/>
      </c>
      <c r="F575" s="292" t="str">
        <f ca="1">IF(ISERROR($S575),"",OFFSET('Smelter Reference List'!$E$4,$S575-4,0))</f>
        <v/>
      </c>
      <c r="G575" s="292" t="str">
        <f ca="1">IF(C575=$U$4,"Enter smelter details", IF(ISERROR($S575),"",OFFSET('Smelter Reference List'!$F$4,$S575-4,0)))</f>
        <v/>
      </c>
      <c r="H575" s="293" t="str">
        <f ca="1">IF(ISERROR($S575),"",OFFSET('Smelter Reference List'!$G$4,$S575-4,0))</f>
        <v/>
      </c>
      <c r="I575" s="294" t="str">
        <f ca="1">IF(ISERROR($S575),"",OFFSET('Smelter Reference List'!$H$4,$S575-4,0))</f>
        <v/>
      </c>
      <c r="J575" s="294" t="str">
        <f ca="1">IF(ISERROR($S575),"",OFFSET('Smelter Reference List'!$I$4,$S575-4,0))</f>
        <v/>
      </c>
      <c r="K575" s="295"/>
      <c r="L575" s="295"/>
      <c r="M575" s="295"/>
      <c r="N575" s="295"/>
      <c r="O575" s="295"/>
      <c r="P575" s="295"/>
      <c r="Q575" s="296"/>
      <c r="R575" s="227"/>
      <c r="S575" s="228" t="e">
        <f>IF(C575="",NA(),MATCH($B575&amp;$C575,'Smelter Reference List'!$J:$J,0))</f>
        <v>#N/A</v>
      </c>
      <c r="T575" s="229"/>
      <c r="U575" s="229">
        <f t="shared" ca="1" si="18"/>
        <v>0</v>
      </c>
      <c r="V575" s="229"/>
      <c r="W575" s="229"/>
      <c r="Y575" s="223" t="str">
        <f t="shared" si="19"/>
        <v/>
      </c>
    </row>
    <row r="576" spans="1:25" s="223" customFormat="1" ht="20.25">
      <c r="A576" s="291"/>
      <c r="B576" s="292" t="str">
        <f>IF(LEN(A576)=0,"",INDEX('Smelter Reference List'!$A:$A,MATCH($A576,'Smelter Reference List'!$E:$E,0)))</f>
        <v/>
      </c>
      <c r="C576" s="298" t="str">
        <f>IF(LEN(A576)=0,"",INDEX('Smelter Reference List'!$C:$C,MATCH($A576,'Smelter Reference List'!$E:$E,0)))</f>
        <v/>
      </c>
      <c r="D576" s="292" t="str">
        <f ca="1">IF(ISERROR($S576),"",OFFSET('Smelter Reference List'!$C$4,$S576-4,0)&amp;"")</f>
        <v/>
      </c>
      <c r="E576" s="292" t="str">
        <f ca="1">IF(ISERROR($S576),"",OFFSET('Smelter Reference List'!$D$4,$S576-4,0)&amp;"")</f>
        <v/>
      </c>
      <c r="F576" s="292" t="str">
        <f ca="1">IF(ISERROR($S576),"",OFFSET('Smelter Reference List'!$E$4,$S576-4,0))</f>
        <v/>
      </c>
      <c r="G576" s="292" t="str">
        <f ca="1">IF(C576=$U$4,"Enter smelter details", IF(ISERROR($S576),"",OFFSET('Smelter Reference List'!$F$4,$S576-4,0)))</f>
        <v/>
      </c>
      <c r="H576" s="293" t="str">
        <f ca="1">IF(ISERROR($S576),"",OFFSET('Smelter Reference List'!$G$4,$S576-4,0))</f>
        <v/>
      </c>
      <c r="I576" s="294" t="str">
        <f ca="1">IF(ISERROR($S576),"",OFFSET('Smelter Reference List'!$H$4,$S576-4,0))</f>
        <v/>
      </c>
      <c r="J576" s="294" t="str">
        <f ca="1">IF(ISERROR($S576),"",OFFSET('Smelter Reference List'!$I$4,$S576-4,0))</f>
        <v/>
      </c>
      <c r="K576" s="295"/>
      <c r="L576" s="295"/>
      <c r="M576" s="295"/>
      <c r="N576" s="295"/>
      <c r="O576" s="295"/>
      <c r="P576" s="295"/>
      <c r="Q576" s="296"/>
      <c r="R576" s="227"/>
      <c r="S576" s="228" t="e">
        <f>IF(C576="",NA(),MATCH($B576&amp;$C576,'Smelter Reference List'!$J:$J,0))</f>
        <v>#N/A</v>
      </c>
      <c r="T576" s="229"/>
      <c r="U576" s="229">
        <f t="shared" ca="1" si="18"/>
        <v>0</v>
      </c>
      <c r="V576" s="229"/>
      <c r="W576" s="229"/>
      <c r="Y576" s="223" t="str">
        <f t="shared" si="19"/>
        <v/>
      </c>
    </row>
    <row r="577" spans="1:25" s="223" customFormat="1" ht="20.25">
      <c r="A577" s="291"/>
      <c r="B577" s="292" t="str">
        <f>IF(LEN(A577)=0,"",INDEX('Smelter Reference List'!$A:$A,MATCH($A577,'Smelter Reference List'!$E:$E,0)))</f>
        <v/>
      </c>
      <c r="C577" s="298" t="str">
        <f>IF(LEN(A577)=0,"",INDEX('Smelter Reference List'!$C:$C,MATCH($A577,'Smelter Reference List'!$E:$E,0)))</f>
        <v/>
      </c>
      <c r="D577" s="292" t="str">
        <f ca="1">IF(ISERROR($S577),"",OFFSET('Smelter Reference List'!$C$4,$S577-4,0)&amp;"")</f>
        <v/>
      </c>
      <c r="E577" s="292" t="str">
        <f ca="1">IF(ISERROR($S577),"",OFFSET('Smelter Reference List'!$D$4,$S577-4,0)&amp;"")</f>
        <v/>
      </c>
      <c r="F577" s="292" t="str">
        <f ca="1">IF(ISERROR($S577),"",OFFSET('Smelter Reference List'!$E$4,$S577-4,0))</f>
        <v/>
      </c>
      <c r="G577" s="292" t="str">
        <f ca="1">IF(C577=$U$4,"Enter smelter details", IF(ISERROR($S577),"",OFFSET('Smelter Reference List'!$F$4,$S577-4,0)))</f>
        <v/>
      </c>
      <c r="H577" s="293" t="str">
        <f ca="1">IF(ISERROR($S577),"",OFFSET('Smelter Reference List'!$G$4,$S577-4,0))</f>
        <v/>
      </c>
      <c r="I577" s="294" t="str">
        <f ca="1">IF(ISERROR($S577),"",OFFSET('Smelter Reference List'!$H$4,$S577-4,0))</f>
        <v/>
      </c>
      <c r="J577" s="294" t="str">
        <f ca="1">IF(ISERROR($S577),"",OFFSET('Smelter Reference List'!$I$4,$S577-4,0))</f>
        <v/>
      </c>
      <c r="K577" s="295"/>
      <c r="L577" s="295"/>
      <c r="M577" s="295"/>
      <c r="N577" s="295"/>
      <c r="O577" s="295"/>
      <c r="P577" s="295"/>
      <c r="Q577" s="296"/>
      <c r="R577" s="227"/>
      <c r="S577" s="228" t="e">
        <f>IF(C577="",NA(),MATCH($B577&amp;$C577,'Smelter Reference List'!$J:$J,0))</f>
        <v>#N/A</v>
      </c>
      <c r="T577" s="229"/>
      <c r="U577" s="229">
        <f t="shared" ca="1" si="18"/>
        <v>0</v>
      </c>
      <c r="V577" s="229"/>
      <c r="W577" s="229"/>
      <c r="Y577" s="223" t="str">
        <f t="shared" si="19"/>
        <v/>
      </c>
    </row>
    <row r="578" spans="1:25" s="223" customFormat="1" ht="20.25">
      <c r="A578" s="291"/>
      <c r="B578" s="292" t="str">
        <f>IF(LEN(A578)=0,"",INDEX('Smelter Reference List'!$A:$A,MATCH($A578,'Smelter Reference List'!$E:$E,0)))</f>
        <v/>
      </c>
      <c r="C578" s="298" t="str">
        <f>IF(LEN(A578)=0,"",INDEX('Smelter Reference List'!$C:$C,MATCH($A578,'Smelter Reference List'!$E:$E,0)))</f>
        <v/>
      </c>
      <c r="D578" s="292" t="str">
        <f ca="1">IF(ISERROR($S578),"",OFFSET('Smelter Reference List'!$C$4,$S578-4,0)&amp;"")</f>
        <v/>
      </c>
      <c r="E578" s="292" t="str">
        <f ca="1">IF(ISERROR($S578),"",OFFSET('Smelter Reference List'!$D$4,$S578-4,0)&amp;"")</f>
        <v/>
      </c>
      <c r="F578" s="292" t="str">
        <f ca="1">IF(ISERROR($S578),"",OFFSET('Smelter Reference List'!$E$4,$S578-4,0))</f>
        <v/>
      </c>
      <c r="G578" s="292" t="str">
        <f ca="1">IF(C578=$U$4,"Enter smelter details", IF(ISERROR($S578),"",OFFSET('Smelter Reference List'!$F$4,$S578-4,0)))</f>
        <v/>
      </c>
      <c r="H578" s="293" t="str">
        <f ca="1">IF(ISERROR($S578),"",OFFSET('Smelter Reference List'!$G$4,$S578-4,0))</f>
        <v/>
      </c>
      <c r="I578" s="294" t="str">
        <f ca="1">IF(ISERROR($S578),"",OFFSET('Smelter Reference List'!$H$4,$S578-4,0))</f>
        <v/>
      </c>
      <c r="J578" s="294" t="str">
        <f ca="1">IF(ISERROR($S578),"",OFFSET('Smelter Reference List'!$I$4,$S578-4,0))</f>
        <v/>
      </c>
      <c r="K578" s="295"/>
      <c r="L578" s="295"/>
      <c r="M578" s="295"/>
      <c r="N578" s="295"/>
      <c r="O578" s="295"/>
      <c r="P578" s="295"/>
      <c r="Q578" s="296"/>
      <c r="R578" s="227"/>
      <c r="S578" s="228" t="e">
        <f>IF(C578="",NA(),MATCH($B578&amp;$C578,'Smelter Reference List'!$J:$J,0))</f>
        <v>#N/A</v>
      </c>
      <c r="T578" s="229"/>
      <c r="U578" s="229">
        <f t="shared" ca="1" si="18"/>
        <v>0</v>
      </c>
      <c r="V578" s="229"/>
      <c r="W578" s="229"/>
      <c r="Y578" s="223" t="str">
        <f t="shared" si="19"/>
        <v/>
      </c>
    </row>
    <row r="579" spans="1:25" s="223" customFormat="1" ht="20.25">
      <c r="A579" s="291"/>
      <c r="B579" s="292" t="str">
        <f>IF(LEN(A579)=0,"",INDEX('Smelter Reference List'!$A:$A,MATCH($A579,'Smelter Reference List'!$E:$E,0)))</f>
        <v/>
      </c>
      <c r="C579" s="298" t="str">
        <f>IF(LEN(A579)=0,"",INDEX('Smelter Reference List'!$C:$C,MATCH($A579,'Smelter Reference List'!$E:$E,0)))</f>
        <v/>
      </c>
      <c r="D579" s="292" t="str">
        <f ca="1">IF(ISERROR($S579),"",OFFSET('Smelter Reference List'!$C$4,$S579-4,0)&amp;"")</f>
        <v/>
      </c>
      <c r="E579" s="292" t="str">
        <f ca="1">IF(ISERROR($S579),"",OFFSET('Smelter Reference List'!$D$4,$S579-4,0)&amp;"")</f>
        <v/>
      </c>
      <c r="F579" s="292" t="str">
        <f ca="1">IF(ISERROR($S579),"",OFFSET('Smelter Reference List'!$E$4,$S579-4,0))</f>
        <v/>
      </c>
      <c r="G579" s="292" t="str">
        <f ca="1">IF(C579=$U$4,"Enter smelter details", IF(ISERROR($S579),"",OFFSET('Smelter Reference List'!$F$4,$S579-4,0)))</f>
        <v/>
      </c>
      <c r="H579" s="293" t="str">
        <f ca="1">IF(ISERROR($S579),"",OFFSET('Smelter Reference List'!$G$4,$S579-4,0))</f>
        <v/>
      </c>
      <c r="I579" s="294" t="str">
        <f ca="1">IF(ISERROR($S579),"",OFFSET('Smelter Reference List'!$H$4,$S579-4,0))</f>
        <v/>
      </c>
      <c r="J579" s="294" t="str">
        <f ca="1">IF(ISERROR($S579),"",OFFSET('Smelter Reference List'!$I$4,$S579-4,0))</f>
        <v/>
      </c>
      <c r="K579" s="295"/>
      <c r="L579" s="295"/>
      <c r="M579" s="295"/>
      <c r="N579" s="295"/>
      <c r="O579" s="295"/>
      <c r="P579" s="295"/>
      <c r="Q579" s="296"/>
      <c r="R579" s="227"/>
      <c r="S579" s="228" t="e">
        <f>IF(C579="",NA(),MATCH($B579&amp;$C579,'Smelter Reference List'!$J:$J,0))</f>
        <v>#N/A</v>
      </c>
      <c r="T579" s="229"/>
      <c r="U579" s="229">
        <f t="shared" ca="1" si="18"/>
        <v>0</v>
      </c>
      <c r="V579" s="229"/>
      <c r="W579" s="229"/>
      <c r="Y579" s="223" t="str">
        <f t="shared" si="19"/>
        <v/>
      </c>
    </row>
    <row r="580" spans="1:25" s="223" customFormat="1" ht="20.25">
      <c r="A580" s="291"/>
      <c r="B580" s="292" t="str">
        <f>IF(LEN(A580)=0,"",INDEX('Smelter Reference List'!$A:$A,MATCH($A580,'Smelter Reference List'!$E:$E,0)))</f>
        <v/>
      </c>
      <c r="C580" s="298" t="str">
        <f>IF(LEN(A580)=0,"",INDEX('Smelter Reference List'!$C:$C,MATCH($A580,'Smelter Reference List'!$E:$E,0)))</f>
        <v/>
      </c>
      <c r="D580" s="292" t="str">
        <f ca="1">IF(ISERROR($S580),"",OFFSET('Smelter Reference List'!$C$4,$S580-4,0)&amp;"")</f>
        <v/>
      </c>
      <c r="E580" s="292" t="str">
        <f ca="1">IF(ISERROR($S580),"",OFFSET('Smelter Reference List'!$D$4,$S580-4,0)&amp;"")</f>
        <v/>
      </c>
      <c r="F580" s="292" t="str">
        <f ca="1">IF(ISERROR($S580),"",OFFSET('Smelter Reference List'!$E$4,$S580-4,0))</f>
        <v/>
      </c>
      <c r="G580" s="292" t="str">
        <f ca="1">IF(C580=$U$4,"Enter smelter details", IF(ISERROR($S580),"",OFFSET('Smelter Reference List'!$F$4,$S580-4,0)))</f>
        <v/>
      </c>
      <c r="H580" s="293" t="str">
        <f ca="1">IF(ISERROR($S580),"",OFFSET('Smelter Reference List'!$G$4,$S580-4,0))</f>
        <v/>
      </c>
      <c r="I580" s="294" t="str">
        <f ca="1">IF(ISERROR($S580),"",OFFSET('Smelter Reference List'!$H$4,$S580-4,0))</f>
        <v/>
      </c>
      <c r="J580" s="294" t="str">
        <f ca="1">IF(ISERROR($S580),"",OFFSET('Smelter Reference List'!$I$4,$S580-4,0))</f>
        <v/>
      </c>
      <c r="K580" s="295"/>
      <c r="L580" s="295"/>
      <c r="M580" s="295"/>
      <c r="N580" s="295"/>
      <c r="O580" s="295"/>
      <c r="P580" s="295"/>
      <c r="Q580" s="296"/>
      <c r="R580" s="227"/>
      <c r="S580" s="228" t="e">
        <f>IF(C580="",NA(),MATCH($B580&amp;$C580,'Smelter Reference List'!$J:$J,0))</f>
        <v>#N/A</v>
      </c>
      <c r="T580" s="229"/>
      <c r="U580" s="229">
        <f t="shared" ca="1" si="18"/>
        <v>0</v>
      </c>
      <c r="V580" s="229"/>
      <c r="W580" s="229"/>
      <c r="Y580" s="223" t="str">
        <f t="shared" si="19"/>
        <v/>
      </c>
    </row>
    <row r="581" spans="1:25" s="223" customFormat="1" ht="20.25">
      <c r="A581" s="291"/>
      <c r="B581" s="292" t="str">
        <f>IF(LEN(A581)=0,"",INDEX('Smelter Reference List'!$A:$A,MATCH($A581,'Smelter Reference List'!$E:$E,0)))</f>
        <v/>
      </c>
      <c r="C581" s="298" t="str">
        <f>IF(LEN(A581)=0,"",INDEX('Smelter Reference List'!$C:$C,MATCH($A581,'Smelter Reference List'!$E:$E,0)))</f>
        <v/>
      </c>
      <c r="D581" s="292" t="str">
        <f ca="1">IF(ISERROR($S581),"",OFFSET('Smelter Reference List'!$C$4,$S581-4,0)&amp;"")</f>
        <v/>
      </c>
      <c r="E581" s="292" t="str">
        <f ca="1">IF(ISERROR($S581),"",OFFSET('Smelter Reference List'!$D$4,$S581-4,0)&amp;"")</f>
        <v/>
      </c>
      <c r="F581" s="292" t="str">
        <f ca="1">IF(ISERROR($S581),"",OFFSET('Smelter Reference List'!$E$4,$S581-4,0))</f>
        <v/>
      </c>
      <c r="G581" s="292" t="str">
        <f ca="1">IF(C581=$U$4,"Enter smelter details", IF(ISERROR($S581),"",OFFSET('Smelter Reference List'!$F$4,$S581-4,0)))</f>
        <v/>
      </c>
      <c r="H581" s="293" t="str">
        <f ca="1">IF(ISERROR($S581),"",OFFSET('Smelter Reference List'!$G$4,$S581-4,0))</f>
        <v/>
      </c>
      <c r="I581" s="294" t="str">
        <f ca="1">IF(ISERROR($S581),"",OFFSET('Smelter Reference List'!$H$4,$S581-4,0))</f>
        <v/>
      </c>
      <c r="J581" s="294" t="str">
        <f ca="1">IF(ISERROR($S581),"",OFFSET('Smelter Reference List'!$I$4,$S581-4,0))</f>
        <v/>
      </c>
      <c r="K581" s="295"/>
      <c r="L581" s="295"/>
      <c r="M581" s="295"/>
      <c r="N581" s="295"/>
      <c r="O581" s="295"/>
      <c r="P581" s="295"/>
      <c r="Q581" s="296"/>
      <c r="R581" s="227"/>
      <c r="S581" s="228" t="e">
        <f>IF(C581="",NA(),MATCH($B581&amp;$C581,'Smelter Reference List'!$J:$J,0))</f>
        <v>#N/A</v>
      </c>
      <c r="T581" s="229"/>
      <c r="U581" s="229">
        <f t="shared" ref="U581:U644" ca="1" si="20">IF(AND(C581="Smelter not listed",OR(LEN(D581)=0,LEN(E581)=0)),1,0)</f>
        <v>0</v>
      </c>
      <c r="V581" s="229"/>
      <c r="W581" s="229"/>
      <c r="Y581" s="223" t="str">
        <f t="shared" ref="Y581:Y644" si="21">B581&amp;C581</f>
        <v/>
      </c>
    </row>
    <row r="582" spans="1:25" s="223" customFormat="1" ht="20.25">
      <c r="A582" s="291"/>
      <c r="B582" s="292" t="str">
        <f>IF(LEN(A582)=0,"",INDEX('Smelter Reference List'!$A:$A,MATCH($A582,'Smelter Reference List'!$E:$E,0)))</f>
        <v/>
      </c>
      <c r="C582" s="298" t="str">
        <f>IF(LEN(A582)=0,"",INDEX('Smelter Reference List'!$C:$C,MATCH($A582,'Smelter Reference List'!$E:$E,0)))</f>
        <v/>
      </c>
      <c r="D582" s="292" t="str">
        <f ca="1">IF(ISERROR($S582),"",OFFSET('Smelter Reference List'!$C$4,$S582-4,0)&amp;"")</f>
        <v/>
      </c>
      <c r="E582" s="292" t="str">
        <f ca="1">IF(ISERROR($S582),"",OFFSET('Smelter Reference List'!$D$4,$S582-4,0)&amp;"")</f>
        <v/>
      </c>
      <c r="F582" s="292" t="str">
        <f ca="1">IF(ISERROR($S582),"",OFFSET('Smelter Reference List'!$E$4,$S582-4,0))</f>
        <v/>
      </c>
      <c r="G582" s="292" t="str">
        <f ca="1">IF(C582=$U$4,"Enter smelter details", IF(ISERROR($S582),"",OFFSET('Smelter Reference List'!$F$4,$S582-4,0)))</f>
        <v/>
      </c>
      <c r="H582" s="293" t="str">
        <f ca="1">IF(ISERROR($S582),"",OFFSET('Smelter Reference List'!$G$4,$S582-4,0))</f>
        <v/>
      </c>
      <c r="I582" s="294" t="str">
        <f ca="1">IF(ISERROR($S582),"",OFFSET('Smelter Reference List'!$H$4,$S582-4,0))</f>
        <v/>
      </c>
      <c r="J582" s="294" t="str">
        <f ca="1">IF(ISERROR($S582),"",OFFSET('Smelter Reference List'!$I$4,$S582-4,0))</f>
        <v/>
      </c>
      <c r="K582" s="295"/>
      <c r="L582" s="295"/>
      <c r="M582" s="295"/>
      <c r="N582" s="295"/>
      <c r="O582" s="295"/>
      <c r="P582" s="295"/>
      <c r="Q582" s="296"/>
      <c r="R582" s="227"/>
      <c r="S582" s="228" t="e">
        <f>IF(C582="",NA(),MATCH($B582&amp;$C582,'Smelter Reference List'!$J:$J,0))</f>
        <v>#N/A</v>
      </c>
      <c r="T582" s="229"/>
      <c r="U582" s="229">
        <f t="shared" ca="1" si="20"/>
        <v>0</v>
      </c>
      <c r="V582" s="229"/>
      <c r="W582" s="229"/>
      <c r="Y582" s="223" t="str">
        <f t="shared" si="21"/>
        <v/>
      </c>
    </row>
    <row r="583" spans="1:25" s="223" customFormat="1" ht="20.25">
      <c r="A583" s="291"/>
      <c r="B583" s="292" t="str">
        <f>IF(LEN(A583)=0,"",INDEX('Smelter Reference List'!$A:$A,MATCH($A583,'Smelter Reference List'!$E:$E,0)))</f>
        <v/>
      </c>
      <c r="C583" s="298" t="str">
        <f>IF(LEN(A583)=0,"",INDEX('Smelter Reference List'!$C:$C,MATCH($A583,'Smelter Reference List'!$E:$E,0)))</f>
        <v/>
      </c>
      <c r="D583" s="292" t="str">
        <f ca="1">IF(ISERROR($S583),"",OFFSET('Smelter Reference List'!$C$4,$S583-4,0)&amp;"")</f>
        <v/>
      </c>
      <c r="E583" s="292" t="str">
        <f ca="1">IF(ISERROR($S583),"",OFFSET('Smelter Reference List'!$D$4,$S583-4,0)&amp;"")</f>
        <v/>
      </c>
      <c r="F583" s="292" t="str">
        <f ca="1">IF(ISERROR($S583),"",OFFSET('Smelter Reference List'!$E$4,$S583-4,0))</f>
        <v/>
      </c>
      <c r="G583" s="292" t="str">
        <f ca="1">IF(C583=$U$4,"Enter smelter details", IF(ISERROR($S583),"",OFFSET('Smelter Reference List'!$F$4,$S583-4,0)))</f>
        <v/>
      </c>
      <c r="H583" s="293" t="str">
        <f ca="1">IF(ISERROR($S583),"",OFFSET('Smelter Reference List'!$G$4,$S583-4,0))</f>
        <v/>
      </c>
      <c r="I583" s="294" t="str">
        <f ca="1">IF(ISERROR($S583),"",OFFSET('Smelter Reference List'!$H$4,$S583-4,0))</f>
        <v/>
      </c>
      <c r="J583" s="294" t="str">
        <f ca="1">IF(ISERROR($S583),"",OFFSET('Smelter Reference List'!$I$4,$S583-4,0))</f>
        <v/>
      </c>
      <c r="K583" s="295"/>
      <c r="L583" s="295"/>
      <c r="M583" s="295"/>
      <c r="N583" s="295"/>
      <c r="O583" s="295"/>
      <c r="P583" s="295"/>
      <c r="Q583" s="296"/>
      <c r="R583" s="227"/>
      <c r="S583" s="228" t="e">
        <f>IF(C583="",NA(),MATCH($B583&amp;$C583,'Smelter Reference List'!$J:$J,0))</f>
        <v>#N/A</v>
      </c>
      <c r="T583" s="229"/>
      <c r="U583" s="229">
        <f t="shared" ca="1" si="20"/>
        <v>0</v>
      </c>
      <c r="V583" s="229"/>
      <c r="W583" s="229"/>
      <c r="Y583" s="223" t="str">
        <f t="shared" si="21"/>
        <v/>
      </c>
    </row>
    <row r="584" spans="1:25" s="223" customFormat="1" ht="20.25">
      <c r="A584" s="291"/>
      <c r="B584" s="292" t="str">
        <f>IF(LEN(A584)=0,"",INDEX('Smelter Reference List'!$A:$A,MATCH($A584,'Smelter Reference List'!$E:$E,0)))</f>
        <v/>
      </c>
      <c r="C584" s="298" t="str">
        <f>IF(LEN(A584)=0,"",INDEX('Smelter Reference List'!$C:$C,MATCH($A584,'Smelter Reference List'!$E:$E,0)))</f>
        <v/>
      </c>
      <c r="D584" s="292" t="str">
        <f ca="1">IF(ISERROR($S584),"",OFFSET('Smelter Reference List'!$C$4,$S584-4,0)&amp;"")</f>
        <v/>
      </c>
      <c r="E584" s="292" t="str">
        <f ca="1">IF(ISERROR($S584),"",OFFSET('Smelter Reference List'!$D$4,$S584-4,0)&amp;"")</f>
        <v/>
      </c>
      <c r="F584" s="292" t="str">
        <f ca="1">IF(ISERROR($S584),"",OFFSET('Smelter Reference List'!$E$4,$S584-4,0))</f>
        <v/>
      </c>
      <c r="G584" s="292" t="str">
        <f ca="1">IF(C584=$U$4,"Enter smelter details", IF(ISERROR($S584),"",OFFSET('Smelter Reference List'!$F$4,$S584-4,0)))</f>
        <v/>
      </c>
      <c r="H584" s="293" t="str">
        <f ca="1">IF(ISERROR($S584),"",OFFSET('Smelter Reference List'!$G$4,$S584-4,0))</f>
        <v/>
      </c>
      <c r="I584" s="294" t="str">
        <f ca="1">IF(ISERROR($S584),"",OFFSET('Smelter Reference List'!$H$4,$S584-4,0))</f>
        <v/>
      </c>
      <c r="J584" s="294" t="str">
        <f ca="1">IF(ISERROR($S584),"",OFFSET('Smelter Reference List'!$I$4,$S584-4,0))</f>
        <v/>
      </c>
      <c r="K584" s="295"/>
      <c r="L584" s="295"/>
      <c r="M584" s="295"/>
      <c r="N584" s="295"/>
      <c r="O584" s="295"/>
      <c r="P584" s="295"/>
      <c r="Q584" s="296"/>
      <c r="R584" s="227"/>
      <c r="S584" s="228" t="e">
        <f>IF(C584="",NA(),MATCH($B584&amp;$C584,'Smelter Reference List'!$J:$J,0))</f>
        <v>#N/A</v>
      </c>
      <c r="T584" s="229"/>
      <c r="U584" s="229">
        <f t="shared" ca="1" si="20"/>
        <v>0</v>
      </c>
      <c r="V584" s="229"/>
      <c r="W584" s="229"/>
      <c r="Y584" s="223" t="str">
        <f t="shared" si="21"/>
        <v/>
      </c>
    </row>
    <row r="585" spans="1:25" s="223" customFormat="1" ht="20.25">
      <c r="A585" s="291"/>
      <c r="B585" s="292" t="str">
        <f>IF(LEN(A585)=0,"",INDEX('Smelter Reference List'!$A:$A,MATCH($A585,'Smelter Reference List'!$E:$E,0)))</f>
        <v/>
      </c>
      <c r="C585" s="298" t="str">
        <f>IF(LEN(A585)=0,"",INDEX('Smelter Reference List'!$C:$C,MATCH($A585,'Smelter Reference List'!$E:$E,0)))</f>
        <v/>
      </c>
      <c r="D585" s="292" t="str">
        <f ca="1">IF(ISERROR($S585),"",OFFSET('Smelter Reference List'!$C$4,$S585-4,0)&amp;"")</f>
        <v/>
      </c>
      <c r="E585" s="292" t="str">
        <f ca="1">IF(ISERROR($S585),"",OFFSET('Smelter Reference List'!$D$4,$S585-4,0)&amp;"")</f>
        <v/>
      </c>
      <c r="F585" s="292" t="str">
        <f ca="1">IF(ISERROR($S585),"",OFFSET('Smelter Reference List'!$E$4,$S585-4,0))</f>
        <v/>
      </c>
      <c r="G585" s="292" t="str">
        <f ca="1">IF(C585=$U$4,"Enter smelter details", IF(ISERROR($S585),"",OFFSET('Smelter Reference List'!$F$4,$S585-4,0)))</f>
        <v/>
      </c>
      <c r="H585" s="293" t="str">
        <f ca="1">IF(ISERROR($S585),"",OFFSET('Smelter Reference List'!$G$4,$S585-4,0))</f>
        <v/>
      </c>
      <c r="I585" s="294" t="str">
        <f ca="1">IF(ISERROR($S585),"",OFFSET('Smelter Reference List'!$H$4,$S585-4,0))</f>
        <v/>
      </c>
      <c r="J585" s="294" t="str">
        <f ca="1">IF(ISERROR($S585),"",OFFSET('Smelter Reference List'!$I$4,$S585-4,0))</f>
        <v/>
      </c>
      <c r="K585" s="295"/>
      <c r="L585" s="295"/>
      <c r="M585" s="295"/>
      <c r="N585" s="295"/>
      <c r="O585" s="295"/>
      <c r="P585" s="295"/>
      <c r="Q585" s="296"/>
      <c r="R585" s="227"/>
      <c r="S585" s="228" t="e">
        <f>IF(C585="",NA(),MATCH($B585&amp;$C585,'Smelter Reference List'!$J:$J,0))</f>
        <v>#N/A</v>
      </c>
      <c r="T585" s="229"/>
      <c r="U585" s="229">
        <f t="shared" ca="1" si="20"/>
        <v>0</v>
      </c>
      <c r="V585" s="229"/>
      <c r="W585" s="229"/>
      <c r="Y585" s="223" t="str">
        <f t="shared" si="21"/>
        <v/>
      </c>
    </row>
    <row r="586" spans="1:25" s="223" customFormat="1" ht="20.25">
      <c r="A586" s="291"/>
      <c r="B586" s="292" t="str">
        <f>IF(LEN(A586)=0,"",INDEX('Smelter Reference List'!$A:$A,MATCH($A586,'Smelter Reference List'!$E:$E,0)))</f>
        <v/>
      </c>
      <c r="C586" s="298" t="str">
        <f>IF(LEN(A586)=0,"",INDEX('Smelter Reference List'!$C:$C,MATCH($A586,'Smelter Reference List'!$E:$E,0)))</f>
        <v/>
      </c>
      <c r="D586" s="292" t="str">
        <f ca="1">IF(ISERROR($S586),"",OFFSET('Smelter Reference List'!$C$4,$S586-4,0)&amp;"")</f>
        <v/>
      </c>
      <c r="E586" s="292" t="str">
        <f ca="1">IF(ISERROR($S586),"",OFFSET('Smelter Reference List'!$D$4,$S586-4,0)&amp;"")</f>
        <v/>
      </c>
      <c r="F586" s="292" t="str">
        <f ca="1">IF(ISERROR($S586),"",OFFSET('Smelter Reference List'!$E$4,$S586-4,0))</f>
        <v/>
      </c>
      <c r="G586" s="292" t="str">
        <f ca="1">IF(C586=$U$4,"Enter smelter details", IF(ISERROR($S586),"",OFFSET('Smelter Reference List'!$F$4,$S586-4,0)))</f>
        <v/>
      </c>
      <c r="H586" s="293" t="str">
        <f ca="1">IF(ISERROR($S586),"",OFFSET('Smelter Reference List'!$G$4,$S586-4,0))</f>
        <v/>
      </c>
      <c r="I586" s="294" t="str">
        <f ca="1">IF(ISERROR($S586),"",OFFSET('Smelter Reference List'!$H$4,$S586-4,0))</f>
        <v/>
      </c>
      <c r="J586" s="294" t="str">
        <f ca="1">IF(ISERROR($S586),"",OFFSET('Smelter Reference List'!$I$4,$S586-4,0))</f>
        <v/>
      </c>
      <c r="K586" s="295"/>
      <c r="L586" s="295"/>
      <c r="M586" s="295"/>
      <c r="N586" s="295"/>
      <c r="O586" s="295"/>
      <c r="P586" s="295"/>
      <c r="Q586" s="296"/>
      <c r="R586" s="227"/>
      <c r="S586" s="228" t="e">
        <f>IF(C586="",NA(),MATCH($B586&amp;$C586,'Smelter Reference List'!$J:$J,0))</f>
        <v>#N/A</v>
      </c>
      <c r="T586" s="229"/>
      <c r="U586" s="229">
        <f t="shared" ca="1" si="20"/>
        <v>0</v>
      </c>
      <c r="V586" s="229"/>
      <c r="W586" s="229"/>
      <c r="Y586" s="223" t="str">
        <f t="shared" si="21"/>
        <v/>
      </c>
    </row>
    <row r="587" spans="1:25" s="223" customFormat="1" ht="20.25">
      <c r="A587" s="291"/>
      <c r="B587" s="292" t="str">
        <f>IF(LEN(A587)=0,"",INDEX('Smelter Reference List'!$A:$A,MATCH($A587,'Smelter Reference List'!$E:$E,0)))</f>
        <v/>
      </c>
      <c r="C587" s="298" t="str">
        <f>IF(LEN(A587)=0,"",INDEX('Smelter Reference List'!$C:$C,MATCH($A587,'Smelter Reference List'!$E:$E,0)))</f>
        <v/>
      </c>
      <c r="D587" s="292" t="str">
        <f ca="1">IF(ISERROR($S587),"",OFFSET('Smelter Reference List'!$C$4,$S587-4,0)&amp;"")</f>
        <v/>
      </c>
      <c r="E587" s="292" t="str">
        <f ca="1">IF(ISERROR($S587),"",OFFSET('Smelter Reference List'!$D$4,$S587-4,0)&amp;"")</f>
        <v/>
      </c>
      <c r="F587" s="292" t="str">
        <f ca="1">IF(ISERROR($S587),"",OFFSET('Smelter Reference List'!$E$4,$S587-4,0))</f>
        <v/>
      </c>
      <c r="G587" s="292" t="str">
        <f ca="1">IF(C587=$U$4,"Enter smelter details", IF(ISERROR($S587),"",OFFSET('Smelter Reference List'!$F$4,$S587-4,0)))</f>
        <v/>
      </c>
      <c r="H587" s="293" t="str">
        <f ca="1">IF(ISERROR($S587),"",OFFSET('Smelter Reference List'!$G$4,$S587-4,0))</f>
        <v/>
      </c>
      <c r="I587" s="294" t="str">
        <f ca="1">IF(ISERROR($S587),"",OFFSET('Smelter Reference List'!$H$4,$S587-4,0))</f>
        <v/>
      </c>
      <c r="J587" s="294" t="str">
        <f ca="1">IF(ISERROR($S587),"",OFFSET('Smelter Reference List'!$I$4,$S587-4,0))</f>
        <v/>
      </c>
      <c r="K587" s="295"/>
      <c r="L587" s="295"/>
      <c r="M587" s="295"/>
      <c r="N587" s="295"/>
      <c r="O587" s="295"/>
      <c r="P587" s="295"/>
      <c r="Q587" s="296"/>
      <c r="R587" s="227"/>
      <c r="S587" s="228" t="e">
        <f>IF(C587="",NA(),MATCH($B587&amp;$C587,'Smelter Reference List'!$J:$J,0))</f>
        <v>#N/A</v>
      </c>
      <c r="T587" s="229"/>
      <c r="U587" s="229">
        <f t="shared" ca="1" si="20"/>
        <v>0</v>
      </c>
      <c r="V587" s="229"/>
      <c r="W587" s="229"/>
      <c r="Y587" s="223" t="str">
        <f t="shared" si="21"/>
        <v/>
      </c>
    </row>
    <row r="588" spans="1:25" s="223" customFormat="1" ht="20.25">
      <c r="A588" s="291"/>
      <c r="B588" s="292" t="str">
        <f>IF(LEN(A588)=0,"",INDEX('Smelter Reference List'!$A:$A,MATCH($A588,'Smelter Reference List'!$E:$E,0)))</f>
        <v/>
      </c>
      <c r="C588" s="298" t="str">
        <f>IF(LEN(A588)=0,"",INDEX('Smelter Reference List'!$C:$C,MATCH($A588,'Smelter Reference List'!$E:$E,0)))</f>
        <v/>
      </c>
      <c r="D588" s="292" t="str">
        <f ca="1">IF(ISERROR($S588),"",OFFSET('Smelter Reference List'!$C$4,$S588-4,0)&amp;"")</f>
        <v/>
      </c>
      <c r="E588" s="292" t="str">
        <f ca="1">IF(ISERROR($S588),"",OFFSET('Smelter Reference List'!$D$4,$S588-4,0)&amp;"")</f>
        <v/>
      </c>
      <c r="F588" s="292" t="str">
        <f ca="1">IF(ISERROR($S588),"",OFFSET('Smelter Reference List'!$E$4,$S588-4,0))</f>
        <v/>
      </c>
      <c r="G588" s="292" t="str">
        <f ca="1">IF(C588=$U$4,"Enter smelter details", IF(ISERROR($S588),"",OFFSET('Smelter Reference List'!$F$4,$S588-4,0)))</f>
        <v/>
      </c>
      <c r="H588" s="293" t="str">
        <f ca="1">IF(ISERROR($S588),"",OFFSET('Smelter Reference List'!$G$4,$S588-4,0))</f>
        <v/>
      </c>
      <c r="I588" s="294" t="str">
        <f ca="1">IF(ISERROR($S588),"",OFFSET('Smelter Reference List'!$H$4,$S588-4,0))</f>
        <v/>
      </c>
      <c r="J588" s="294" t="str">
        <f ca="1">IF(ISERROR($S588),"",OFFSET('Smelter Reference List'!$I$4,$S588-4,0))</f>
        <v/>
      </c>
      <c r="K588" s="295"/>
      <c r="L588" s="295"/>
      <c r="M588" s="295"/>
      <c r="N588" s="295"/>
      <c r="O588" s="295"/>
      <c r="P588" s="295"/>
      <c r="Q588" s="296"/>
      <c r="R588" s="227"/>
      <c r="S588" s="228" t="e">
        <f>IF(C588="",NA(),MATCH($B588&amp;$C588,'Smelter Reference List'!$J:$J,0))</f>
        <v>#N/A</v>
      </c>
      <c r="T588" s="229"/>
      <c r="U588" s="229">
        <f t="shared" ca="1" si="20"/>
        <v>0</v>
      </c>
      <c r="V588" s="229"/>
      <c r="W588" s="229"/>
      <c r="Y588" s="223" t="str">
        <f t="shared" si="21"/>
        <v/>
      </c>
    </row>
    <row r="589" spans="1:25" s="223" customFormat="1" ht="20.25">
      <c r="A589" s="291"/>
      <c r="B589" s="292" t="str">
        <f>IF(LEN(A589)=0,"",INDEX('Smelter Reference List'!$A:$A,MATCH($A589,'Smelter Reference List'!$E:$E,0)))</f>
        <v/>
      </c>
      <c r="C589" s="298" t="str">
        <f>IF(LEN(A589)=0,"",INDEX('Smelter Reference List'!$C:$C,MATCH($A589,'Smelter Reference List'!$E:$E,0)))</f>
        <v/>
      </c>
      <c r="D589" s="292" t="str">
        <f ca="1">IF(ISERROR($S589),"",OFFSET('Smelter Reference List'!$C$4,$S589-4,0)&amp;"")</f>
        <v/>
      </c>
      <c r="E589" s="292" t="str">
        <f ca="1">IF(ISERROR($S589),"",OFFSET('Smelter Reference List'!$D$4,$S589-4,0)&amp;"")</f>
        <v/>
      </c>
      <c r="F589" s="292" t="str">
        <f ca="1">IF(ISERROR($S589),"",OFFSET('Smelter Reference List'!$E$4,$S589-4,0))</f>
        <v/>
      </c>
      <c r="G589" s="292" t="str">
        <f ca="1">IF(C589=$U$4,"Enter smelter details", IF(ISERROR($S589),"",OFFSET('Smelter Reference List'!$F$4,$S589-4,0)))</f>
        <v/>
      </c>
      <c r="H589" s="293" t="str">
        <f ca="1">IF(ISERROR($S589),"",OFFSET('Smelter Reference List'!$G$4,$S589-4,0))</f>
        <v/>
      </c>
      <c r="I589" s="294" t="str">
        <f ca="1">IF(ISERROR($S589),"",OFFSET('Smelter Reference List'!$H$4,$S589-4,0))</f>
        <v/>
      </c>
      <c r="J589" s="294" t="str">
        <f ca="1">IF(ISERROR($S589),"",OFFSET('Smelter Reference List'!$I$4,$S589-4,0))</f>
        <v/>
      </c>
      <c r="K589" s="295"/>
      <c r="L589" s="295"/>
      <c r="M589" s="295"/>
      <c r="N589" s="295"/>
      <c r="O589" s="295"/>
      <c r="P589" s="295"/>
      <c r="Q589" s="296"/>
      <c r="R589" s="227"/>
      <c r="S589" s="228" t="e">
        <f>IF(C589="",NA(),MATCH($B589&amp;$C589,'Smelter Reference List'!$J:$J,0))</f>
        <v>#N/A</v>
      </c>
      <c r="T589" s="229"/>
      <c r="U589" s="229">
        <f t="shared" ca="1" si="20"/>
        <v>0</v>
      </c>
      <c r="V589" s="229"/>
      <c r="W589" s="229"/>
      <c r="Y589" s="223" t="str">
        <f t="shared" si="21"/>
        <v/>
      </c>
    </row>
    <row r="590" spans="1:25" s="223" customFormat="1" ht="20.25">
      <c r="A590" s="291"/>
      <c r="B590" s="292" t="str">
        <f>IF(LEN(A590)=0,"",INDEX('Smelter Reference List'!$A:$A,MATCH($A590,'Smelter Reference List'!$E:$E,0)))</f>
        <v/>
      </c>
      <c r="C590" s="298" t="str">
        <f>IF(LEN(A590)=0,"",INDEX('Smelter Reference List'!$C:$C,MATCH($A590,'Smelter Reference List'!$E:$E,0)))</f>
        <v/>
      </c>
      <c r="D590" s="292" t="str">
        <f ca="1">IF(ISERROR($S590),"",OFFSET('Smelter Reference List'!$C$4,$S590-4,0)&amp;"")</f>
        <v/>
      </c>
      <c r="E590" s="292" t="str">
        <f ca="1">IF(ISERROR($S590),"",OFFSET('Smelter Reference List'!$D$4,$S590-4,0)&amp;"")</f>
        <v/>
      </c>
      <c r="F590" s="292" t="str">
        <f ca="1">IF(ISERROR($S590),"",OFFSET('Smelter Reference List'!$E$4,$S590-4,0))</f>
        <v/>
      </c>
      <c r="G590" s="292" t="str">
        <f ca="1">IF(C590=$U$4,"Enter smelter details", IF(ISERROR($S590),"",OFFSET('Smelter Reference List'!$F$4,$S590-4,0)))</f>
        <v/>
      </c>
      <c r="H590" s="293" t="str">
        <f ca="1">IF(ISERROR($S590),"",OFFSET('Smelter Reference List'!$G$4,$S590-4,0))</f>
        <v/>
      </c>
      <c r="I590" s="294" t="str">
        <f ca="1">IF(ISERROR($S590),"",OFFSET('Smelter Reference List'!$H$4,$S590-4,0))</f>
        <v/>
      </c>
      <c r="J590" s="294" t="str">
        <f ca="1">IF(ISERROR($S590),"",OFFSET('Smelter Reference List'!$I$4,$S590-4,0))</f>
        <v/>
      </c>
      <c r="K590" s="295"/>
      <c r="L590" s="295"/>
      <c r="M590" s="295"/>
      <c r="N590" s="295"/>
      <c r="O590" s="295"/>
      <c r="P590" s="295"/>
      <c r="Q590" s="296"/>
      <c r="R590" s="227"/>
      <c r="S590" s="228" t="e">
        <f>IF(C590="",NA(),MATCH($B590&amp;$C590,'Smelter Reference List'!$J:$J,0))</f>
        <v>#N/A</v>
      </c>
      <c r="T590" s="229"/>
      <c r="U590" s="229">
        <f t="shared" ca="1" si="20"/>
        <v>0</v>
      </c>
      <c r="V590" s="229"/>
      <c r="W590" s="229"/>
      <c r="Y590" s="223" t="str">
        <f t="shared" si="21"/>
        <v/>
      </c>
    </row>
    <row r="591" spans="1:25" s="223" customFormat="1" ht="20.25">
      <c r="A591" s="291"/>
      <c r="B591" s="292" t="str">
        <f>IF(LEN(A591)=0,"",INDEX('Smelter Reference List'!$A:$A,MATCH($A591,'Smelter Reference List'!$E:$E,0)))</f>
        <v/>
      </c>
      <c r="C591" s="298" t="str">
        <f>IF(LEN(A591)=0,"",INDEX('Smelter Reference List'!$C:$C,MATCH($A591,'Smelter Reference List'!$E:$E,0)))</f>
        <v/>
      </c>
      <c r="D591" s="292" t="str">
        <f ca="1">IF(ISERROR($S591),"",OFFSET('Smelter Reference List'!$C$4,$S591-4,0)&amp;"")</f>
        <v/>
      </c>
      <c r="E591" s="292" t="str">
        <f ca="1">IF(ISERROR($S591),"",OFFSET('Smelter Reference List'!$D$4,$S591-4,0)&amp;"")</f>
        <v/>
      </c>
      <c r="F591" s="292" t="str">
        <f ca="1">IF(ISERROR($S591),"",OFFSET('Smelter Reference List'!$E$4,$S591-4,0))</f>
        <v/>
      </c>
      <c r="G591" s="292" t="str">
        <f ca="1">IF(C591=$U$4,"Enter smelter details", IF(ISERROR($S591),"",OFFSET('Smelter Reference List'!$F$4,$S591-4,0)))</f>
        <v/>
      </c>
      <c r="H591" s="293" t="str">
        <f ca="1">IF(ISERROR($S591),"",OFFSET('Smelter Reference List'!$G$4,$S591-4,0))</f>
        <v/>
      </c>
      <c r="I591" s="294" t="str">
        <f ca="1">IF(ISERROR($S591),"",OFFSET('Smelter Reference List'!$H$4,$S591-4,0))</f>
        <v/>
      </c>
      <c r="J591" s="294" t="str">
        <f ca="1">IF(ISERROR($S591),"",OFFSET('Smelter Reference List'!$I$4,$S591-4,0))</f>
        <v/>
      </c>
      <c r="K591" s="295"/>
      <c r="L591" s="295"/>
      <c r="M591" s="295"/>
      <c r="N591" s="295"/>
      <c r="O591" s="295"/>
      <c r="P591" s="295"/>
      <c r="Q591" s="296"/>
      <c r="R591" s="227"/>
      <c r="S591" s="228" t="e">
        <f>IF(C591="",NA(),MATCH($B591&amp;$C591,'Smelter Reference List'!$J:$J,0))</f>
        <v>#N/A</v>
      </c>
      <c r="T591" s="229"/>
      <c r="U591" s="229">
        <f t="shared" ca="1" si="20"/>
        <v>0</v>
      </c>
      <c r="V591" s="229"/>
      <c r="W591" s="229"/>
      <c r="Y591" s="223" t="str">
        <f t="shared" si="21"/>
        <v/>
      </c>
    </row>
    <row r="592" spans="1:25" s="223" customFormat="1" ht="20.25">
      <c r="A592" s="291"/>
      <c r="B592" s="292" t="str">
        <f>IF(LEN(A592)=0,"",INDEX('Smelter Reference List'!$A:$A,MATCH($A592,'Smelter Reference List'!$E:$E,0)))</f>
        <v/>
      </c>
      <c r="C592" s="298" t="str">
        <f>IF(LEN(A592)=0,"",INDEX('Smelter Reference List'!$C:$C,MATCH($A592,'Smelter Reference List'!$E:$E,0)))</f>
        <v/>
      </c>
      <c r="D592" s="292" t="str">
        <f ca="1">IF(ISERROR($S592),"",OFFSET('Smelter Reference List'!$C$4,$S592-4,0)&amp;"")</f>
        <v/>
      </c>
      <c r="E592" s="292" t="str">
        <f ca="1">IF(ISERROR($S592),"",OFFSET('Smelter Reference List'!$D$4,$S592-4,0)&amp;"")</f>
        <v/>
      </c>
      <c r="F592" s="292" t="str">
        <f ca="1">IF(ISERROR($S592),"",OFFSET('Smelter Reference List'!$E$4,$S592-4,0))</f>
        <v/>
      </c>
      <c r="G592" s="292" t="str">
        <f ca="1">IF(C592=$U$4,"Enter smelter details", IF(ISERROR($S592),"",OFFSET('Smelter Reference List'!$F$4,$S592-4,0)))</f>
        <v/>
      </c>
      <c r="H592" s="293" t="str">
        <f ca="1">IF(ISERROR($S592),"",OFFSET('Smelter Reference List'!$G$4,$S592-4,0))</f>
        <v/>
      </c>
      <c r="I592" s="294" t="str">
        <f ca="1">IF(ISERROR($S592),"",OFFSET('Smelter Reference List'!$H$4,$S592-4,0))</f>
        <v/>
      </c>
      <c r="J592" s="294" t="str">
        <f ca="1">IF(ISERROR($S592),"",OFFSET('Smelter Reference List'!$I$4,$S592-4,0))</f>
        <v/>
      </c>
      <c r="K592" s="295"/>
      <c r="L592" s="295"/>
      <c r="M592" s="295"/>
      <c r="N592" s="295"/>
      <c r="O592" s="295"/>
      <c r="P592" s="295"/>
      <c r="Q592" s="296"/>
      <c r="R592" s="227"/>
      <c r="S592" s="228" t="e">
        <f>IF(C592="",NA(),MATCH($B592&amp;$C592,'Smelter Reference List'!$J:$J,0))</f>
        <v>#N/A</v>
      </c>
      <c r="T592" s="229"/>
      <c r="U592" s="229">
        <f t="shared" ca="1" si="20"/>
        <v>0</v>
      </c>
      <c r="V592" s="229"/>
      <c r="W592" s="229"/>
      <c r="Y592" s="223" t="str">
        <f t="shared" si="21"/>
        <v/>
      </c>
    </row>
    <row r="593" spans="1:25" s="223" customFormat="1" ht="20.25">
      <c r="A593" s="291"/>
      <c r="B593" s="292" t="str">
        <f>IF(LEN(A593)=0,"",INDEX('Smelter Reference List'!$A:$A,MATCH($A593,'Smelter Reference List'!$E:$E,0)))</f>
        <v/>
      </c>
      <c r="C593" s="298" t="str">
        <f>IF(LEN(A593)=0,"",INDEX('Smelter Reference List'!$C:$C,MATCH($A593,'Smelter Reference List'!$E:$E,0)))</f>
        <v/>
      </c>
      <c r="D593" s="292" t="str">
        <f ca="1">IF(ISERROR($S593),"",OFFSET('Smelter Reference List'!$C$4,$S593-4,0)&amp;"")</f>
        <v/>
      </c>
      <c r="E593" s="292" t="str">
        <f ca="1">IF(ISERROR($S593),"",OFFSET('Smelter Reference List'!$D$4,$S593-4,0)&amp;"")</f>
        <v/>
      </c>
      <c r="F593" s="292" t="str">
        <f ca="1">IF(ISERROR($S593),"",OFFSET('Smelter Reference List'!$E$4,$S593-4,0))</f>
        <v/>
      </c>
      <c r="G593" s="292" t="str">
        <f ca="1">IF(C593=$U$4,"Enter smelter details", IF(ISERROR($S593),"",OFFSET('Smelter Reference List'!$F$4,$S593-4,0)))</f>
        <v/>
      </c>
      <c r="H593" s="293" t="str">
        <f ca="1">IF(ISERROR($S593),"",OFFSET('Smelter Reference List'!$G$4,$S593-4,0))</f>
        <v/>
      </c>
      <c r="I593" s="294" t="str">
        <f ca="1">IF(ISERROR($S593),"",OFFSET('Smelter Reference List'!$H$4,$S593-4,0))</f>
        <v/>
      </c>
      <c r="J593" s="294" t="str">
        <f ca="1">IF(ISERROR($S593),"",OFFSET('Smelter Reference List'!$I$4,$S593-4,0))</f>
        <v/>
      </c>
      <c r="K593" s="295"/>
      <c r="L593" s="295"/>
      <c r="M593" s="295"/>
      <c r="N593" s="295"/>
      <c r="O593" s="295"/>
      <c r="P593" s="295"/>
      <c r="Q593" s="296"/>
      <c r="R593" s="227"/>
      <c r="S593" s="228" t="e">
        <f>IF(C593="",NA(),MATCH($B593&amp;$C593,'Smelter Reference List'!$J:$J,0))</f>
        <v>#N/A</v>
      </c>
      <c r="T593" s="229"/>
      <c r="U593" s="229">
        <f t="shared" ca="1" si="20"/>
        <v>0</v>
      </c>
      <c r="V593" s="229"/>
      <c r="W593" s="229"/>
      <c r="Y593" s="223" t="str">
        <f t="shared" si="21"/>
        <v/>
      </c>
    </row>
    <row r="594" spans="1:25" s="223" customFormat="1" ht="20.25">
      <c r="A594" s="291"/>
      <c r="B594" s="292" t="str">
        <f>IF(LEN(A594)=0,"",INDEX('Smelter Reference List'!$A:$A,MATCH($A594,'Smelter Reference List'!$E:$E,0)))</f>
        <v/>
      </c>
      <c r="C594" s="298" t="str">
        <f>IF(LEN(A594)=0,"",INDEX('Smelter Reference List'!$C:$C,MATCH($A594,'Smelter Reference List'!$E:$E,0)))</f>
        <v/>
      </c>
      <c r="D594" s="292" t="str">
        <f ca="1">IF(ISERROR($S594),"",OFFSET('Smelter Reference List'!$C$4,$S594-4,0)&amp;"")</f>
        <v/>
      </c>
      <c r="E594" s="292" t="str">
        <f ca="1">IF(ISERROR($S594),"",OFFSET('Smelter Reference List'!$D$4,$S594-4,0)&amp;"")</f>
        <v/>
      </c>
      <c r="F594" s="292" t="str">
        <f ca="1">IF(ISERROR($S594),"",OFFSET('Smelter Reference List'!$E$4,$S594-4,0))</f>
        <v/>
      </c>
      <c r="G594" s="292" t="str">
        <f ca="1">IF(C594=$U$4,"Enter smelter details", IF(ISERROR($S594),"",OFFSET('Smelter Reference List'!$F$4,$S594-4,0)))</f>
        <v/>
      </c>
      <c r="H594" s="293" t="str">
        <f ca="1">IF(ISERROR($S594),"",OFFSET('Smelter Reference List'!$G$4,$S594-4,0))</f>
        <v/>
      </c>
      <c r="I594" s="294" t="str">
        <f ca="1">IF(ISERROR($S594),"",OFFSET('Smelter Reference List'!$H$4,$S594-4,0))</f>
        <v/>
      </c>
      <c r="J594" s="294" t="str">
        <f ca="1">IF(ISERROR($S594),"",OFFSET('Smelter Reference List'!$I$4,$S594-4,0))</f>
        <v/>
      </c>
      <c r="K594" s="295"/>
      <c r="L594" s="295"/>
      <c r="M594" s="295"/>
      <c r="N594" s="295"/>
      <c r="O594" s="295"/>
      <c r="P594" s="295"/>
      <c r="Q594" s="296"/>
      <c r="R594" s="227"/>
      <c r="S594" s="228" t="e">
        <f>IF(C594="",NA(),MATCH($B594&amp;$C594,'Smelter Reference List'!$J:$J,0))</f>
        <v>#N/A</v>
      </c>
      <c r="T594" s="229"/>
      <c r="U594" s="229">
        <f t="shared" ca="1" si="20"/>
        <v>0</v>
      </c>
      <c r="V594" s="229"/>
      <c r="W594" s="229"/>
      <c r="Y594" s="223" t="str">
        <f t="shared" si="21"/>
        <v/>
      </c>
    </row>
    <row r="595" spans="1:25" s="223" customFormat="1" ht="20.25">
      <c r="A595" s="291"/>
      <c r="B595" s="292" t="str">
        <f>IF(LEN(A595)=0,"",INDEX('Smelter Reference List'!$A:$A,MATCH($A595,'Smelter Reference List'!$E:$E,0)))</f>
        <v/>
      </c>
      <c r="C595" s="298" t="str">
        <f>IF(LEN(A595)=0,"",INDEX('Smelter Reference List'!$C:$C,MATCH($A595,'Smelter Reference List'!$E:$E,0)))</f>
        <v/>
      </c>
      <c r="D595" s="292" t="str">
        <f ca="1">IF(ISERROR($S595),"",OFFSET('Smelter Reference List'!$C$4,$S595-4,0)&amp;"")</f>
        <v/>
      </c>
      <c r="E595" s="292" t="str">
        <f ca="1">IF(ISERROR($S595),"",OFFSET('Smelter Reference List'!$D$4,$S595-4,0)&amp;"")</f>
        <v/>
      </c>
      <c r="F595" s="292" t="str">
        <f ca="1">IF(ISERROR($S595),"",OFFSET('Smelter Reference List'!$E$4,$S595-4,0))</f>
        <v/>
      </c>
      <c r="G595" s="292" t="str">
        <f ca="1">IF(C595=$U$4,"Enter smelter details", IF(ISERROR($S595),"",OFFSET('Smelter Reference List'!$F$4,$S595-4,0)))</f>
        <v/>
      </c>
      <c r="H595" s="293" t="str">
        <f ca="1">IF(ISERROR($S595),"",OFFSET('Smelter Reference List'!$G$4,$S595-4,0))</f>
        <v/>
      </c>
      <c r="I595" s="294" t="str">
        <f ca="1">IF(ISERROR($S595),"",OFFSET('Smelter Reference List'!$H$4,$S595-4,0))</f>
        <v/>
      </c>
      <c r="J595" s="294" t="str">
        <f ca="1">IF(ISERROR($S595),"",OFFSET('Smelter Reference List'!$I$4,$S595-4,0))</f>
        <v/>
      </c>
      <c r="K595" s="295"/>
      <c r="L595" s="295"/>
      <c r="M595" s="295"/>
      <c r="N595" s="295"/>
      <c r="O595" s="295"/>
      <c r="P595" s="295"/>
      <c r="Q595" s="296"/>
      <c r="R595" s="227"/>
      <c r="S595" s="228" t="e">
        <f>IF(C595="",NA(),MATCH($B595&amp;$C595,'Smelter Reference List'!$J:$J,0))</f>
        <v>#N/A</v>
      </c>
      <c r="T595" s="229"/>
      <c r="U595" s="229">
        <f t="shared" ca="1" si="20"/>
        <v>0</v>
      </c>
      <c r="V595" s="229"/>
      <c r="W595" s="229"/>
      <c r="Y595" s="223" t="str">
        <f t="shared" si="21"/>
        <v/>
      </c>
    </row>
    <row r="596" spans="1:25" s="223" customFormat="1" ht="20.25">
      <c r="A596" s="291"/>
      <c r="B596" s="292" t="str">
        <f>IF(LEN(A596)=0,"",INDEX('Smelter Reference List'!$A:$A,MATCH($A596,'Smelter Reference List'!$E:$E,0)))</f>
        <v/>
      </c>
      <c r="C596" s="298" t="str">
        <f>IF(LEN(A596)=0,"",INDEX('Smelter Reference List'!$C:$C,MATCH($A596,'Smelter Reference List'!$E:$E,0)))</f>
        <v/>
      </c>
      <c r="D596" s="292" t="str">
        <f ca="1">IF(ISERROR($S596),"",OFFSET('Smelter Reference List'!$C$4,$S596-4,0)&amp;"")</f>
        <v/>
      </c>
      <c r="E596" s="292" t="str">
        <f ca="1">IF(ISERROR($S596),"",OFFSET('Smelter Reference List'!$D$4,$S596-4,0)&amp;"")</f>
        <v/>
      </c>
      <c r="F596" s="292" t="str">
        <f ca="1">IF(ISERROR($S596),"",OFFSET('Smelter Reference List'!$E$4,$S596-4,0))</f>
        <v/>
      </c>
      <c r="G596" s="292" t="str">
        <f ca="1">IF(C596=$U$4,"Enter smelter details", IF(ISERROR($S596),"",OFFSET('Smelter Reference List'!$F$4,$S596-4,0)))</f>
        <v/>
      </c>
      <c r="H596" s="293" t="str">
        <f ca="1">IF(ISERROR($S596),"",OFFSET('Smelter Reference List'!$G$4,$S596-4,0))</f>
        <v/>
      </c>
      <c r="I596" s="294" t="str">
        <f ca="1">IF(ISERROR($S596),"",OFFSET('Smelter Reference List'!$H$4,$S596-4,0))</f>
        <v/>
      </c>
      <c r="J596" s="294" t="str">
        <f ca="1">IF(ISERROR($S596),"",OFFSET('Smelter Reference List'!$I$4,$S596-4,0))</f>
        <v/>
      </c>
      <c r="K596" s="295"/>
      <c r="L596" s="295"/>
      <c r="M596" s="295"/>
      <c r="N596" s="295"/>
      <c r="O596" s="295"/>
      <c r="P596" s="295"/>
      <c r="Q596" s="296"/>
      <c r="R596" s="227"/>
      <c r="S596" s="228" t="e">
        <f>IF(C596="",NA(),MATCH($B596&amp;$C596,'Smelter Reference List'!$J:$J,0))</f>
        <v>#N/A</v>
      </c>
      <c r="T596" s="229"/>
      <c r="U596" s="229">
        <f t="shared" ca="1" si="20"/>
        <v>0</v>
      </c>
      <c r="V596" s="229"/>
      <c r="W596" s="229"/>
      <c r="Y596" s="223" t="str">
        <f t="shared" si="21"/>
        <v/>
      </c>
    </row>
    <row r="597" spans="1:25" s="223" customFormat="1" ht="20.25">
      <c r="A597" s="291"/>
      <c r="B597" s="292" t="str">
        <f>IF(LEN(A597)=0,"",INDEX('Smelter Reference List'!$A:$A,MATCH($A597,'Smelter Reference List'!$E:$E,0)))</f>
        <v/>
      </c>
      <c r="C597" s="298" t="str">
        <f>IF(LEN(A597)=0,"",INDEX('Smelter Reference List'!$C:$C,MATCH($A597,'Smelter Reference List'!$E:$E,0)))</f>
        <v/>
      </c>
      <c r="D597" s="292" t="str">
        <f ca="1">IF(ISERROR($S597),"",OFFSET('Smelter Reference List'!$C$4,$S597-4,0)&amp;"")</f>
        <v/>
      </c>
      <c r="E597" s="292" t="str">
        <f ca="1">IF(ISERROR($S597),"",OFFSET('Smelter Reference List'!$D$4,$S597-4,0)&amp;"")</f>
        <v/>
      </c>
      <c r="F597" s="292" t="str">
        <f ca="1">IF(ISERROR($S597),"",OFFSET('Smelter Reference List'!$E$4,$S597-4,0))</f>
        <v/>
      </c>
      <c r="G597" s="292" t="str">
        <f ca="1">IF(C597=$U$4,"Enter smelter details", IF(ISERROR($S597),"",OFFSET('Smelter Reference List'!$F$4,$S597-4,0)))</f>
        <v/>
      </c>
      <c r="H597" s="293" t="str">
        <f ca="1">IF(ISERROR($S597),"",OFFSET('Smelter Reference List'!$G$4,$S597-4,0))</f>
        <v/>
      </c>
      <c r="I597" s="294" t="str">
        <f ca="1">IF(ISERROR($S597),"",OFFSET('Smelter Reference List'!$H$4,$S597-4,0))</f>
        <v/>
      </c>
      <c r="J597" s="294" t="str">
        <f ca="1">IF(ISERROR($S597),"",OFFSET('Smelter Reference List'!$I$4,$S597-4,0))</f>
        <v/>
      </c>
      <c r="K597" s="295"/>
      <c r="L597" s="295"/>
      <c r="M597" s="295"/>
      <c r="N597" s="295"/>
      <c r="O597" s="295"/>
      <c r="P597" s="295"/>
      <c r="Q597" s="296"/>
      <c r="R597" s="227"/>
      <c r="S597" s="228" t="e">
        <f>IF(C597="",NA(),MATCH($B597&amp;$C597,'Smelter Reference List'!$J:$J,0))</f>
        <v>#N/A</v>
      </c>
      <c r="T597" s="229"/>
      <c r="U597" s="229">
        <f t="shared" ca="1" si="20"/>
        <v>0</v>
      </c>
      <c r="V597" s="229"/>
      <c r="W597" s="229"/>
      <c r="Y597" s="223" t="str">
        <f t="shared" si="21"/>
        <v/>
      </c>
    </row>
    <row r="598" spans="1:25" s="223" customFormat="1" ht="20.25">
      <c r="A598" s="291"/>
      <c r="B598" s="292" t="str">
        <f>IF(LEN(A598)=0,"",INDEX('Smelter Reference List'!$A:$A,MATCH($A598,'Smelter Reference List'!$E:$E,0)))</f>
        <v/>
      </c>
      <c r="C598" s="298" t="str">
        <f>IF(LEN(A598)=0,"",INDEX('Smelter Reference List'!$C:$C,MATCH($A598,'Smelter Reference List'!$E:$E,0)))</f>
        <v/>
      </c>
      <c r="D598" s="292" t="str">
        <f ca="1">IF(ISERROR($S598),"",OFFSET('Smelter Reference List'!$C$4,$S598-4,0)&amp;"")</f>
        <v/>
      </c>
      <c r="E598" s="292" t="str">
        <f ca="1">IF(ISERROR($S598),"",OFFSET('Smelter Reference List'!$D$4,$S598-4,0)&amp;"")</f>
        <v/>
      </c>
      <c r="F598" s="292" t="str">
        <f ca="1">IF(ISERROR($S598),"",OFFSET('Smelter Reference List'!$E$4,$S598-4,0))</f>
        <v/>
      </c>
      <c r="G598" s="292" t="str">
        <f ca="1">IF(C598=$U$4,"Enter smelter details", IF(ISERROR($S598),"",OFFSET('Smelter Reference List'!$F$4,$S598-4,0)))</f>
        <v/>
      </c>
      <c r="H598" s="293" t="str">
        <f ca="1">IF(ISERROR($S598),"",OFFSET('Smelter Reference List'!$G$4,$S598-4,0))</f>
        <v/>
      </c>
      <c r="I598" s="294" t="str">
        <f ca="1">IF(ISERROR($S598),"",OFFSET('Smelter Reference List'!$H$4,$S598-4,0))</f>
        <v/>
      </c>
      <c r="J598" s="294" t="str">
        <f ca="1">IF(ISERROR($S598),"",OFFSET('Smelter Reference List'!$I$4,$S598-4,0))</f>
        <v/>
      </c>
      <c r="K598" s="295"/>
      <c r="L598" s="295"/>
      <c r="M598" s="295"/>
      <c r="N598" s="295"/>
      <c r="O598" s="295"/>
      <c r="P598" s="295"/>
      <c r="Q598" s="296"/>
      <c r="R598" s="227"/>
      <c r="S598" s="228" t="e">
        <f>IF(C598="",NA(),MATCH($B598&amp;$C598,'Smelter Reference List'!$J:$J,0))</f>
        <v>#N/A</v>
      </c>
      <c r="T598" s="229"/>
      <c r="U598" s="229">
        <f t="shared" ca="1" si="20"/>
        <v>0</v>
      </c>
      <c r="V598" s="229"/>
      <c r="W598" s="229"/>
      <c r="Y598" s="223" t="str">
        <f t="shared" si="21"/>
        <v/>
      </c>
    </row>
    <row r="599" spans="1:25" s="223" customFormat="1" ht="20.25">
      <c r="A599" s="291"/>
      <c r="B599" s="292" t="str">
        <f>IF(LEN(A599)=0,"",INDEX('Smelter Reference List'!$A:$A,MATCH($A599,'Smelter Reference List'!$E:$E,0)))</f>
        <v/>
      </c>
      <c r="C599" s="298" t="str">
        <f>IF(LEN(A599)=0,"",INDEX('Smelter Reference List'!$C:$C,MATCH($A599,'Smelter Reference List'!$E:$E,0)))</f>
        <v/>
      </c>
      <c r="D599" s="292" t="str">
        <f ca="1">IF(ISERROR($S599),"",OFFSET('Smelter Reference List'!$C$4,$S599-4,0)&amp;"")</f>
        <v/>
      </c>
      <c r="E599" s="292" t="str">
        <f ca="1">IF(ISERROR($S599),"",OFFSET('Smelter Reference List'!$D$4,$S599-4,0)&amp;"")</f>
        <v/>
      </c>
      <c r="F599" s="292" t="str">
        <f ca="1">IF(ISERROR($S599),"",OFFSET('Smelter Reference List'!$E$4,$S599-4,0))</f>
        <v/>
      </c>
      <c r="G599" s="292" t="str">
        <f ca="1">IF(C599=$U$4,"Enter smelter details", IF(ISERROR($S599),"",OFFSET('Smelter Reference List'!$F$4,$S599-4,0)))</f>
        <v/>
      </c>
      <c r="H599" s="293" t="str">
        <f ca="1">IF(ISERROR($S599),"",OFFSET('Smelter Reference List'!$G$4,$S599-4,0))</f>
        <v/>
      </c>
      <c r="I599" s="294" t="str">
        <f ca="1">IF(ISERROR($S599),"",OFFSET('Smelter Reference List'!$H$4,$S599-4,0))</f>
        <v/>
      </c>
      <c r="J599" s="294" t="str">
        <f ca="1">IF(ISERROR($S599),"",OFFSET('Smelter Reference List'!$I$4,$S599-4,0))</f>
        <v/>
      </c>
      <c r="K599" s="295"/>
      <c r="L599" s="295"/>
      <c r="M599" s="295"/>
      <c r="N599" s="295"/>
      <c r="O599" s="295"/>
      <c r="P599" s="295"/>
      <c r="Q599" s="296"/>
      <c r="R599" s="227"/>
      <c r="S599" s="228" t="e">
        <f>IF(C599="",NA(),MATCH($B599&amp;$C599,'Smelter Reference List'!$J:$J,0))</f>
        <v>#N/A</v>
      </c>
      <c r="T599" s="229"/>
      <c r="U599" s="229">
        <f t="shared" ca="1" si="20"/>
        <v>0</v>
      </c>
      <c r="V599" s="229"/>
      <c r="W599" s="229"/>
      <c r="Y599" s="223" t="str">
        <f t="shared" si="21"/>
        <v/>
      </c>
    </row>
    <row r="600" spans="1:25" s="223" customFormat="1" ht="20.25">
      <c r="A600" s="291"/>
      <c r="B600" s="292" t="str">
        <f>IF(LEN(A600)=0,"",INDEX('Smelter Reference List'!$A:$A,MATCH($A600,'Smelter Reference List'!$E:$E,0)))</f>
        <v/>
      </c>
      <c r="C600" s="298" t="str">
        <f>IF(LEN(A600)=0,"",INDEX('Smelter Reference List'!$C:$C,MATCH($A600,'Smelter Reference List'!$E:$E,0)))</f>
        <v/>
      </c>
      <c r="D600" s="292" t="str">
        <f ca="1">IF(ISERROR($S600),"",OFFSET('Smelter Reference List'!$C$4,$S600-4,0)&amp;"")</f>
        <v/>
      </c>
      <c r="E600" s="292" t="str">
        <f ca="1">IF(ISERROR($S600),"",OFFSET('Smelter Reference List'!$D$4,$S600-4,0)&amp;"")</f>
        <v/>
      </c>
      <c r="F600" s="292" t="str">
        <f ca="1">IF(ISERROR($S600),"",OFFSET('Smelter Reference List'!$E$4,$S600-4,0))</f>
        <v/>
      </c>
      <c r="G600" s="292" t="str">
        <f ca="1">IF(C600=$U$4,"Enter smelter details", IF(ISERROR($S600),"",OFFSET('Smelter Reference List'!$F$4,$S600-4,0)))</f>
        <v/>
      </c>
      <c r="H600" s="293" t="str">
        <f ca="1">IF(ISERROR($S600),"",OFFSET('Smelter Reference List'!$G$4,$S600-4,0))</f>
        <v/>
      </c>
      <c r="I600" s="294" t="str">
        <f ca="1">IF(ISERROR($S600),"",OFFSET('Smelter Reference List'!$H$4,$S600-4,0))</f>
        <v/>
      </c>
      <c r="J600" s="294" t="str">
        <f ca="1">IF(ISERROR($S600),"",OFFSET('Smelter Reference List'!$I$4,$S600-4,0))</f>
        <v/>
      </c>
      <c r="K600" s="295"/>
      <c r="L600" s="295"/>
      <c r="M600" s="295"/>
      <c r="N600" s="295"/>
      <c r="O600" s="295"/>
      <c r="P600" s="295"/>
      <c r="Q600" s="296"/>
      <c r="R600" s="227"/>
      <c r="S600" s="228" t="e">
        <f>IF(C600="",NA(),MATCH($B600&amp;$C600,'Smelter Reference List'!$J:$J,0))</f>
        <v>#N/A</v>
      </c>
      <c r="T600" s="229"/>
      <c r="U600" s="229">
        <f t="shared" ca="1" si="20"/>
        <v>0</v>
      </c>
      <c r="V600" s="229"/>
      <c r="W600" s="229"/>
      <c r="Y600" s="223" t="str">
        <f t="shared" si="21"/>
        <v/>
      </c>
    </row>
    <row r="601" spans="1:25" s="223" customFormat="1" ht="20.25">
      <c r="A601" s="291"/>
      <c r="B601" s="292" t="str">
        <f>IF(LEN(A601)=0,"",INDEX('Smelter Reference List'!$A:$A,MATCH($A601,'Smelter Reference List'!$E:$E,0)))</f>
        <v/>
      </c>
      <c r="C601" s="298" t="str">
        <f>IF(LEN(A601)=0,"",INDEX('Smelter Reference List'!$C:$C,MATCH($A601,'Smelter Reference List'!$E:$E,0)))</f>
        <v/>
      </c>
      <c r="D601" s="292" t="str">
        <f ca="1">IF(ISERROR($S601),"",OFFSET('Smelter Reference List'!$C$4,$S601-4,0)&amp;"")</f>
        <v/>
      </c>
      <c r="E601" s="292" t="str">
        <f ca="1">IF(ISERROR($S601),"",OFFSET('Smelter Reference List'!$D$4,$S601-4,0)&amp;"")</f>
        <v/>
      </c>
      <c r="F601" s="292" t="str">
        <f ca="1">IF(ISERROR($S601),"",OFFSET('Smelter Reference List'!$E$4,$S601-4,0))</f>
        <v/>
      </c>
      <c r="G601" s="292" t="str">
        <f ca="1">IF(C601=$U$4,"Enter smelter details", IF(ISERROR($S601),"",OFFSET('Smelter Reference List'!$F$4,$S601-4,0)))</f>
        <v/>
      </c>
      <c r="H601" s="293" t="str">
        <f ca="1">IF(ISERROR($S601),"",OFFSET('Smelter Reference List'!$G$4,$S601-4,0))</f>
        <v/>
      </c>
      <c r="I601" s="294" t="str">
        <f ca="1">IF(ISERROR($S601),"",OFFSET('Smelter Reference List'!$H$4,$S601-4,0))</f>
        <v/>
      </c>
      <c r="J601" s="294" t="str">
        <f ca="1">IF(ISERROR($S601),"",OFFSET('Smelter Reference List'!$I$4,$S601-4,0))</f>
        <v/>
      </c>
      <c r="K601" s="295"/>
      <c r="L601" s="295"/>
      <c r="M601" s="295"/>
      <c r="N601" s="295"/>
      <c r="O601" s="295"/>
      <c r="P601" s="295"/>
      <c r="Q601" s="296"/>
      <c r="R601" s="227"/>
      <c r="S601" s="228" t="e">
        <f>IF(C601="",NA(),MATCH($B601&amp;$C601,'Smelter Reference List'!$J:$J,0))</f>
        <v>#N/A</v>
      </c>
      <c r="T601" s="229"/>
      <c r="U601" s="229">
        <f t="shared" ca="1" si="20"/>
        <v>0</v>
      </c>
      <c r="V601" s="229"/>
      <c r="W601" s="229"/>
      <c r="Y601" s="223" t="str">
        <f t="shared" si="21"/>
        <v/>
      </c>
    </row>
    <row r="602" spans="1:25" s="223" customFormat="1" ht="20.25">
      <c r="A602" s="291"/>
      <c r="B602" s="292" t="str">
        <f>IF(LEN(A602)=0,"",INDEX('Smelter Reference List'!$A:$A,MATCH($A602,'Smelter Reference List'!$E:$E,0)))</f>
        <v/>
      </c>
      <c r="C602" s="298" t="str">
        <f>IF(LEN(A602)=0,"",INDEX('Smelter Reference List'!$C:$C,MATCH($A602,'Smelter Reference List'!$E:$E,0)))</f>
        <v/>
      </c>
      <c r="D602" s="292" t="str">
        <f ca="1">IF(ISERROR($S602),"",OFFSET('Smelter Reference List'!$C$4,$S602-4,0)&amp;"")</f>
        <v/>
      </c>
      <c r="E602" s="292" t="str">
        <f ca="1">IF(ISERROR($S602),"",OFFSET('Smelter Reference List'!$D$4,$S602-4,0)&amp;"")</f>
        <v/>
      </c>
      <c r="F602" s="292" t="str">
        <f ca="1">IF(ISERROR($S602),"",OFFSET('Smelter Reference List'!$E$4,$S602-4,0))</f>
        <v/>
      </c>
      <c r="G602" s="292" t="str">
        <f ca="1">IF(C602=$U$4,"Enter smelter details", IF(ISERROR($S602),"",OFFSET('Smelter Reference List'!$F$4,$S602-4,0)))</f>
        <v/>
      </c>
      <c r="H602" s="293" t="str">
        <f ca="1">IF(ISERROR($S602),"",OFFSET('Smelter Reference List'!$G$4,$S602-4,0))</f>
        <v/>
      </c>
      <c r="I602" s="294" t="str">
        <f ca="1">IF(ISERROR($S602),"",OFFSET('Smelter Reference List'!$H$4,$S602-4,0))</f>
        <v/>
      </c>
      <c r="J602" s="294" t="str">
        <f ca="1">IF(ISERROR($S602),"",OFFSET('Smelter Reference List'!$I$4,$S602-4,0))</f>
        <v/>
      </c>
      <c r="K602" s="295"/>
      <c r="L602" s="295"/>
      <c r="M602" s="295"/>
      <c r="N602" s="295"/>
      <c r="O602" s="295"/>
      <c r="P602" s="295"/>
      <c r="Q602" s="296"/>
      <c r="R602" s="227"/>
      <c r="S602" s="228" t="e">
        <f>IF(C602="",NA(),MATCH($B602&amp;$C602,'Smelter Reference List'!$J:$J,0))</f>
        <v>#N/A</v>
      </c>
      <c r="T602" s="229"/>
      <c r="U602" s="229">
        <f t="shared" ca="1" si="20"/>
        <v>0</v>
      </c>
      <c r="V602" s="229"/>
      <c r="W602" s="229"/>
      <c r="Y602" s="223" t="str">
        <f t="shared" si="21"/>
        <v/>
      </c>
    </row>
    <row r="603" spans="1:25" s="223" customFormat="1" ht="20.25">
      <c r="A603" s="291"/>
      <c r="B603" s="292" t="str">
        <f>IF(LEN(A603)=0,"",INDEX('Smelter Reference List'!$A:$A,MATCH($A603,'Smelter Reference List'!$E:$E,0)))</f>
        <v/>
      </c>
      <c r="C603" s="298" t="str">
        <f>IF(LEN(A603)=0,"",INDEX('Smelter Reference List'!$C:$C,MATCH($A603,'Smelter Reference List'!$E:$E,0)))</f>
        <v/>
      </c>
      <c r="D603" s="292" t="str">
        <f ca="1">IF(ISERROR($S603),"",OFFSET('Smelter Reference List'!$C$4,$S603-4,0)&amp;"")</f>
        <v/>
      </c>
      <c r="E603" s="292" t="str">
        <f ca="1">IF(ISERROR($S603),"",OFFSET('Smelter Reference List'!$D$4,$S603-4,0)&amp;"")</f>
        <v/>
      </c>
      <c r="F603" s="292" t="str">
        <f ca="1">IF(ISERROR($S603),"",OFFSET('Smelter Reference List'!$E$4,$S603-4,0))</f>
        <v/>
      </c>
      <c r="G603" s="292" t="str">
        <f ca="1">IF(C603=$U$4,"Enter smelter details", IF(ISERROR($S603),"",OFFSET('Smelter Reference List'!$F$4,$S603-4,0)))</f>
        <v/>
      </c>
      <c r="H603" s="293" t="str">
        <f ca="1">IF(ISERROR($S603),"",OFFSET('Smelter Reference List'!$G$4,$S603-4,0))</f>
        <v/>
      </c>
      <c r="I603" s="294" t="str">
        <f ca="1">IF(ISERROR($S603),"",OFFSET('Smelter Reference List'!$H$4,$S603-4,0))</f>
        <v/>
      </c>
      <c r="J603" s="294" t="str">
        <f ca="1">IF(ISERROR($S603),"",OFFSET('Smelter Reference List'!$I$4,$S603-4,0))</f>
        <v/>
      </c>
      <c r="K603" s="295"/>
      <c r="L603" s="295"/>
      <c r="M603" s="295"/>
      <c r="N603" s="295"/>
      <c r="O603" s="295"/>
      <c r="P603" s="295"/>
      <c r="Q603" s="296"/>
      <c r="R603" s="227"/>
      <c r="S603" s="228" t="e">
        <f>IF(C603="",NA(),MATCH($B603&amp;$C603,'Smelter Reference List'!$J:$J,0))</f>
        <v>#N/A</v>
      </c>
      <c r="T603" s="229"/>
      <c r="U603" s="229">
        <f t="shared" ca="1" si="20"/>
        <v>0</v>
      </c>
      <c r="V603" s="229"/>
      <c r="W603" s="229"/>
      <c r="Y603" s="223" t="str">
        <f t="shared" si="21"/>
        <v/>
      </c>
    </row>
    <row r="604" spans="1:25" s="223" customFormat="1" ht="20.25">
      <c r="A604" s="291"/>
      <c r="B604" s="292" t="str">
        <f>IF(LEN(A604)=0,"",INDEX('Smelter Reference List'!$A:$A,MATCH($A604,'Smelter Reference List'!$E:$E,0)))</f>
        <v/>
      </c>
      <c r="C604" s="298" t="str">
        <f>IF(LEN(A604)=0,"",INDEX('Smelter Reference List'!$C:$C,MATCH($A604,'Smelter Reference List'!$E:$E,0)))</f>
        <v/>
      </c>
      <c r="D604" s="292" t="str">
        <f ca="1">IF(ISERROR($S604),"",OFFSET('Smelter Reference List'!$C$4,$S604-4,0)&amp;"")</f>
        <v/>
      </c>
      <c r="E604" s="292" t="str">
        <f ca="1">IF(ISERROR($S604),"",OFFSET('Smelter Reference List'!$D$4,$S604-4,0)&amp;"")</f>
        <v/>
      </c>
      <c r="F604" s="292" t="str">
        <f ca="1">IF(ISERROR($S604),"",OFFSET('Smelter Reference List'!$E$4,$S604-4,0))</f>
        <v/>
      </c>
      <c r="G604" s="292" t="str">
        <f ca="1">IF(C604=$U$4,"Enter smelter details", IF(ISERROR($S604),"",OFFSET('Smelter Reference List'!$F$4,$S604-4,0)))</f>
        <v/>
      </c>
      <c r="H604" s="293" t="str">
        <f ca="1">IF(ISERROR($S604),"",OFFSET('Smelter Reference List'!$G$4,$S604-4,0))</f>
        <v/>
      </c>
      <c r="I604" s="294" t="str">
        <f ca="1">IF(ISERROR($S604),"",OFFSET('Smelter Reference List'!$H$4,$S604-4,0))</f>
        <v/>
      </c>
      <c r="J604" s="294" t="str">
        <f ca="1">IF(ISERROR($S604),"",OFFSET('Smelter Reference List'!$I$4,$S604-4,0))</f>
        <v/>
      </c>
      <c r="K604" s="295"/>
      <c r="L604" s="295"/>
      <c r="M604" s="295"/>
      <c r="N604" s="295"/>
      <c r="O604" s="295"/>
      <c r="P604" s="295"/>
      <c r="Q604" s="296"/>
      <c r="R604" s="227"/>
      <c r="S604" s="228" t="e">
        <f>IF(C604="",NA(),MATCH($B604&amp;$C604,'Smelter Reference List'!$J:$J,0))</f>
        <v>#N/A</v>
      </c>
      <c r="T604" s="229"/>
      <c r="U604" s="229">
        <f t="shared" ca="1" si="20"/>
        <v>0</v>
      </c>
      <c r="V604" s="229"/>
      <c r="W604" s="229"/>
      <c r="Y604" s="223" t="str">
        <f t="shared" si="21"/>
        <v/>
      </c>
    </row>
    <row r="605" spans="1:25" s="223" customFormat="1" ht="20.25">
      <c r="A605" s="291"/>
      <c r="B605" s="292" t="str">
        <f>IF(LEN(A605)=0,"",INDEX('Smelter Reference List'!$A:$A,MATCH($A605,'Smelter Reference List'!$E:$E,0)))</f>
        <v/>
      </c>
      <c r="C605" s="298" t="str">
        <f>IF(LEN(A605)=0,"",INDEX('Smelter Reference List'!$C:$C,MATCH($A605,'Smelter Reference List'!$E:$E,0)))</f>
        <v/>
      </c>
      <c r="D605" s="292" t="str">
        <f ca="1">IF(ISERROR($S605),"",OFFSET('Smelter Reference List'!$C$4,$S605-4,0)&amp;"")</f>
        <v/>
      </c>
      <c r="E605" s="292" t="str">
        <f ca="1">IF(ISERROR($S605),"",OFFSET('Smelter Reference List'!$D$4,$S605-4,0)&amp;"")</f>
        <v/>
      </c>
      <c r="F605" s="292" t="str">
        <f ca="1">IF(ISERROR($S605),"",OFFSET('Smelter Reference List'!$E$4,$S605-4,0))</f>
        <v/>
      </c>
      <c r="G605" s="292" t="str">
        <f ca="1">IF(C605=$U$4,"Enter smelter details", IF(ISERROR($S605),"",OFFSET('Smelter Reference List'!$F$4,$S605-4,0)))</f>
        <v/>
      </c>
      <c r="H605" s="293" t="str">
        <f ca="1">IF(ISERROR($S605),"",OFFSET('Smelter Reference List'!$G$4,$S605-4,0))</f>
        <v/>
      </c>
      <c r="I605" s="294" t="str">
        <f ca="1">IF(ISERROR($S605),"",OFFSET('Smelter Reference List'!$H$4,$S605-4,0))</f>
        <v/>
      </c>
      <c r="J605" s="294" t="str">
        <f ca="1">IF(ISERROR($S605),"",OFFSET('Smelter Reference List'!$I$4,$S605-4,0))</f>
        <v/>
      </c>
      <c r="K605" s="295"/>
      <c r="L605" s="295"/>
      <c r="M605" s="295"/>
      <c r="N605" s="295"/>
      <c r="O605" s="295"/>
      <c r="P605" s="295"/>
      <c r="Q605" s="296"/>
      <c r="R605" s="227"/>
      <c r="S605" s="228" t="e">
        <f>IF(C605="",NA(),MATCH($B605&amp;$C605,'Smelter Reference List'!$J:$J,0))</f>
        <v>#N/A</v>
      </c>
      <c r="T605" s="229"/>
      <c r="U605" s="229">
        <f t="shared" ca="1" si="20"/>
        <v>0</v>
      </c>
      <c r="V605" s="229"/>
      <c r="W605" s="229"/>
      <c r="Y605" s="223" t="str">
        <f t="shared" si="21"/>
        <v/>
      </c>
    </row>
    <row r="606" spans="1:25" s="223" customFormat="1" ht="20.25">
      <c r="A606" s="291"/>
      <c r="B606" s="292" t="str">
        <f>IF(LEN(A606)=0,"",INDEX('Smelter Reference List'!$A:$A,MATCH($A606,'Smelter Reference List'!$E:$E,0)))</f>
        <v/>
      </c>
      <c r="C606" s="298" t="str">
        <f>IF(LEN(A606)=0,"",INDEX('Smelter Reference List'!$C:$C,MATCH($A606,'Smelter Reference List'!$E:$E,0)))</f>
        <v/>
      </c>
      <c r="D606" s="292" t="str">
        <f ca="1">IF(ISERROR($S606),"",OFFSET('Smelter Reference List'!$C$4,$S606-4,0)&amp;"")</f>
        <v/>
      </c>
      <c r="E606" s="292" t="str">
        <f ca="1">IF(ISERROR($S606),"",OFFSET('Smelter Reference List'!$D$4,$S606-4,0)&amp;"")</f>
        <v/>
      </c>
      <c r="F606" s="292" t="str">
        <f ca="1">IF(ISERROR($S606),"",OFFSET('Smelter Reference List'!$E$4,$S606-4,0))</f>
        <v/>
      </c>
      <c r="G606" s="292" t="str">
        <f ca="1">IF(C606=$U$4,"Enter smelter details", IF(ISERROR($S606),"",OFFSET('Smelter Reference List'!$F$4,$S606-4,0)))</f>
        <v/>
      </c>
      <c r="H606" s="293" t="str">
        <f ca="1">IF(ISERROR($S606),"",OFFSET('Smelter Reference List'!$G$4,$S606-4,0))</f>
        <v/>
      </c>
      <c r="I606" s="294" t="str">
        <f ca="1">IF(ISERROR($S606),"",OFFSET('Smelter Reference List'!$H$4,$S606-4,0))</f>
        <v/>
      </c>
      <c r="J606" s="294" t="str">
        <f ca="1">IF(ISERROR($S606),"",OFFSET('Smelter Reference List'!$I$4,$S606-4,0))</f>
        <v/>
      </c>
      <c r="K606" s="295"/>
      <c r="L606" s="295"/>
      <c r="M606" s="295"/>
      <c r="N606" s="295"/>
      <c r="O606" s="295"/>
      <c r="P606" s="295"/>
      <c r="Q606" s="296"/>
      <c r="R606" s="227"/>
      <c r="S606" s="228" t="e">
        <f>IF(C606="",NA(),MATCH($B606&amp;$C606,'Smelter Reference List'!$J:$J,0))</f>
        <v>#N/A</v>
      </c>
      <c r="T606" s="229"/>
      <c r="U606" s="229">
        <f t="shared" ca="1" si="20"/>
        <v>0</v>
      </c>
      <c r="V606" s="229"/>
      <c r="W606" s="229"/>
      <c r="Y606" s="223" t="str">
        <f t="shared" si="21"/>
        <v/>
      </c>
    </row>
    <row r="607" spans="1:25" s="223" customFormat="1" ht="20.25">
      <c r="A607" s="291"/>
      <c r="B607" s="292" t="str">
        <f>IF(LEN(A607)=0,"",INDEX('Smelter Reference List'!$A:$A,MATCH($A607,'Smelter Reference List'!$E:$E,0)))</f>
        <v/>
      </c>
      <c r="C607" s="298" t="str">
        <f>IF(LEN(A607)=0,"",INDEX('Smelter Reference List'!$C:$C,MATCH($A607,'Smelter Reference List'!$E:$E,0)))</f>
        <v/>
      </c>
      <c r="D607" s="292" t="str">
        <f ca="1">IF(ISERROR($S607),"",OFFSET('Smelter Reference List'!$C$4,$S607-4,0)&amp;"")</f>
        <v/>
      </c>
      <c r="E607" s="292" t="str">
        <f ca="1">IF(ISERROR($S607),"",OFFSET('Smelter Reference List'!$D$4,$S607-4,0)&amp;"")</f>
        <v/>
      </c>
      <c r="F607" s="292" t="str">
        <f ca="1">IF(ISERROR($S607),"",OFFSET('Smelter Reference List'!$E$4,$S607-4,0))</f>
        <v/>
      </c>
      <c r="G607" s="292" t="str">
        <f ca="1">IF(C607=$U$4,"Enter smelter details", IF(ISERROR($S607),"",OFFSET('Smelter Reference List'!$F$4,$S607-4,0)))</f>
        <v/>
      </c>
      <c r="H607" s="293" t="str">
        <f ca="1">IF(ISERROR($S607),"",OFFSET('Smelter Reference List'!$G$4,$S607-4,0))</f>
        <v/>
      </c>
      <c r="I607" s="294" t="str">
        <f ca="1">IF(ISERROR($S607),"",OFFSET('Smelter Reference List'!$H$4,$S607-4,0))</f>
        <v/>
      </c>
      <c r="J607" s="294" t="str">
        <f ca="1">IF(ISERROR($S607),"",OFFSET('Smelter Reference List'!$I$4,$S607-4,0))</f>
        <v/>
      </c>
      <c r="K607" s="295"/>
      <c r="L607" s="295"/>
      <c r="M607" s="295"/>
      <c r="N607" s="295"/>
      <c r="O607" s="295"/>
      <c r="P607" s="295"/>
      <c r="Q607" s="296"/>
      <c r="R607" s="227"/>
      <c r="S607" s="228" t="e">
        <f>IF(C607="",NA(),MATCH($B607&amp;$C607,'Smelter Reference List'!$J:$J,0))</f>
        <v>#N/A</v>
      </c>
      <c r="T607" s="229"/>
      <c r="U607" s="229">
        <f t="shared" ca="1" si="20"/>
        <v>0</v>
      </c>
      <c r="V607" s="229"/>
      <c r="W607" s="229"/>
      <c r="Y607" s="223" t="str">
        <f t="shared" si="21"/>
        <v/>
      </c>
    </row>
    <row r="608" spans="1:25" s="223" customFormat="1" ht="20.25">
      <c r="A608" s="291"/>
      <c r="B608" s="292" t="str">
        <f>IF(LEN(A608)=0,"",INDEX('Smelter Reference List'!$A:$A,MATCH($A608,'Smelter Reference List'!$E:$E,0)))</f>
        <v/>
      </c>
      <c r="C608" s="298" t="str">
        <f>IF(LEN(A608)=0,"",INDEX('Smelter Reference List'!$C:$C,MATCH($A608,'Smelter Reference List'!$E:$E,0)))</f>
        <v/>
      </c>
      <c r="D608" s="292" t="str">
        <f ca="1">IF(ISERROR($S608),"",OFFSET('Smelter Reference List'!$C$4,$S608-4,0)&amp;"")</f>
        <v/>
      </c>
      <c r="E608" s="292" t="str">
        <f ca="1">IF(ISERROR($S608),"",OFFSET('Smelter Reference List'!$D$4,$S608-4,0)&amp;"")</f>
        <v/>
      </c>
      <c r="F608" s="292" t="str">
        <f ca="1">IF(ISERROR($S608),"",OFFSET('Smelter Reference List'!$E$4,$S608-4,0))</f>
        <v/>
      </c>
      <c r="G608" s="292" t="str">
        <f ca="1">IF(C608=$U$4,"Enter smelter details", IF(ISERROR($S608),"",OFFSET('Smelter Reference List'!$F$4,$S608-4,0)))</f>
        <v/>
      </c>
      <c r="H608" s="293" t="str">
        <f ca="1">IF(ISERROR($S608),"",OFFSET('Smelter Reference List'!$G$4,$S608-4,0))</f>
        <v/>
      </c>
      <c r="I608" s="294" t="str">
        <f ca="1">IF(ISERROR($S608),"",OFFSET('Smelter Reference List'!$H$4,$S608-4,0))</f>
        <v/>
      </c>
      <c r="J608" s="294" t="str">
        <f ca="1">IF(ISERROR($S608),"",OFFSET('Smelter Reference List'!$I$4,$S608-4,0))</f>
        <v/>
      </c>
      <c r="K608" s="295"/>
      <c r="L608" s="295"/>
      <c r="M608" s="295"/>
      <c r="N608" s="295"/>
      <c r="O608" s="295"/>
      <c r="P608" s="295"/>
      <c r="Q608" s="296"/>
      <c r="R608" s="227"/>
      <c r="S608" s="228" t="e">
        <f>IF(C608="",NA(),MATCH($B608&amp;$C608,'Smelter Reference List'!$J:$J,0))</f>
        <v>#N/A</v>
      </c>
      <c r="T608" s="229"/>
      <c r="U608" s="229">
        <f t="shared" ca="1" si="20"/>
        <v>0</v>
      </c>
      <c r="V608" s="229"/>
      <c r="W608" s="229"/>
      <c r="Y608" s="223" t="str">
        <f t="shared" si="21"/>
        <v/>
      </c>
    </row>
    <row r="609" spans="1:25" s="223" customFormat="1" ht="20.25">
      <c r="A609" s="291"/>
      <c r="B609" s="292" t="str">
        <f>IF(LEN(A609)=0,"",INDEX('Smelter Reference List'!$A:$A,MATCH($A609,'Smelter Reference List'!$E:$E,0)))</f>
        <v/>
      </c>
      <c r="C609" s="298" t="str">
        <f>IF(LEN(A609)=0,"",INDEX('Smelter Reference List'!$C:$C,MATCH($A609,'Smelter Reference List'!$E:$E,0)))</f>
        <v/>
      </c>
      <c r="D609" s="292" t="str">
        <f ca="1">IF(ISERROR($S609),"",OFFSET('Smelter Reference List'!$C$4,$S609-4,0)&amp;"")</f>
        <v/>
      </c>
      <c r="E609" s="292" t="str">
        <f ca="1">IF(ISERROR($S609),"",OFFSET('Smelter Reference List'!$D$4,$S609-4,0)&amp;"")</f>
        <v/>
      </c>
      <c r="F609" s="292" t="str">
        <f ca="1">IF(ISERROR($S609),"",OFFSET('Smelter Reference List'!$E$4,$S609-4,0))</f>
        <v/>
      </c>
      <c r="G609" s="292" t="str">
        <f ca="1">IF(C609=$U$4,"Enter smelter details", IF(ISERROR($S609),"",OFFSET('Smelter Reference List'!$F$4,$S609-4,0)))</f>
        <v/>
      </c>
      <c r="H609" s="293" t="str">
        <f ca="1">IF(ISERROR($S609),"",OFFSET('Smelter Reference List'!$G$4,$S609-4,0))</f>
        <v/>
      </c>
      <c r="I609" s="294" t="str">
        <f ca="1">IF(ISERROR($S609),"",OFFSET('Smelter Reference List'!$H$4,$S609-4,0))</f>
        <v/>
      </c>
      <c r="J609" s="294" t="str">
        <f ca="1">IF(ISERROR($S609),"",OFFSET('Smelter Reference List'!$I$4,$S609-4,0))</f>
        <v/>
      </c>
      <c r="K609" s="295"/>
      <c r="L609" s="295"/>
      <c r="M609" s="295"/>
      <c r="N609" s="295"/>
      <c r="O609" s="295"/>
      <c r="P609" s="295"/>
      <c r="Q609" s="296"/>
      <c r="R609" s="227"/>
      <c r="S609" s="228" t="e">
        <f>IF(C609="",NA(),MATCH($B609&amp;$C609,'Smelter Reference List'!$J:$J,0))</f>
        <v>#N/A</v>
      </c>
      <c r="T609" s="229"/>
      <c r="U609" s="229">
        <f t="shared" ca="1" si="20"/>
        <v>0</v>
      </c>
      <c r="V609" s="229"/>
      <c r="W609" s="229"/>
      <c r="Y609" s="223" t="str">
        <f t="shared" si="21"/>
        <v/>
      </c>
    </row>
    <row r="610" spans="1:25" s="223" customFormat="1" ht="20.25">
      <c r="A610" s="291"/>
      <c r="B610" s="292" t="str">
        <f>IF(LEN(A610)=0,"",INDEX('Smelter Reference List'!$A:$A,MATCH($A610,'Smelter Reference List'!$E:$E,0)))</f>
        <v/>
      </c>
      <c r="C610" s="298" t="str">
        <f>IF(LEN(A610)=0,"",INDEX('Smelter Reference List'!$C:$C,MATCH($A610,'Smelter Reference List'!$E:$E,0)))</f>
        <v/>
      </c>
      <c r="D610" s="292" t="str">
        <f ca="1">IF(ISERROR($S610),"",OFFSET('Smelter Reference List'!$C$4,$S610-4,0)&amp;"")</f>
        <v/>
      </c>
      <c r="E610" s="292" t="str">
        <f ca="1">IF(ISERROR($S610),"",OFFSET('Smelter Reference List'!$D$4,$S610-4,0)&amp;"")</f>
        <v/>
      </c>
      <c r="F610" s="292" t="str">
        <f ca="1">IF(ISERROR($S610),"",OFFSET('Smelter Reference List'!$E$4,$S610-4,0))</f>
        <v/>
      </c>
      <c r="G610" s="292" t="str">
        <f ca="1">IF(C610=$U$4,"Enter smelter details", IF(ISERROR($S610),"",OFFSET('Smelter Reference List'!$F$4,$S610-4,0)))</f>
        <v/>
      </c>
      <c r="H610" s="293" t="str">
        <f ca="1">IF(ISERROR($S610),"",OFFSET('Smelter Reference List'!$G$4,$S610-4,0))</f>
        <v/>
      </c>
      <c r="I610" s="294" t="str">
        <f ca="1">IF(ISERROR($S610),"",OFFSET('Smelter Reference List'!$H$4,$S610-4,0))</f>
        <v/>
      </c>
      <c r="J610" s="294" t="str">
        <f ca="1">IF(ISERROR($S610),"",OFFSET('Smelter Reference List'!$I$4,$S610-4,0))</f>
        <v/>
      </c>
      <c r="K610" s="295"/>
      <c r="L610" s="295"/>
      <c r="M610" s="295"/>
      <c r="N610" s="295"/>
      <c r="O610" s="295"/>
      <c r="P610" s="295"/>
      <c r="Q610" s="296"/>
      <c r="R610" s="227"/>
      <c r="S610" s="228" t="e">
        <f>IF(C610="",NA(),MATCH($B610&amp;$C610,'Smelter Reference List'!$J:$J,0))</f>
        <v>#N/A</v>
      </c>
      <c r="T610" s="229"/>
      <c r="U610" s="229">
        <f t="shared" ca="1" si="20"/>
        <v>0</v>
      </c>
      <c r="V610" s="229"/>
      <c r="W610" s="229"/>
      <c r="Y610" s="223" t="str">
        <f t="shared" si="21"/>
        <v/>
      </c>
    </row>
    <row r="611" spans="1:25" s="223" customFormat="1" ht="20.25">
      <c r="A611" s="291"/>
      <c r="B611" s="292" t="str">
        <f>IF(LEN(A611)=0,"",INDEX('Smelter Reference List'!$A:$A,MATCH($A611,'Smelter Reference List'!$E:$E,0)))</f>
        <v/>
      </c>
      <c r="C611" s="298" t="str">
        <f>IF(LEN(A611)=0,"",INDEX('Smelter Reference List'!$C:$C,MATCH($A611,'Smelter Reference List'!$E:$E,0)))</f>
        <v/>
      </c>
      <c r="D611" s="292" t="str">
        <f ca="1">IF(ISERROR($S611),"",OFFSET('Smelter Reference List'!$C$4,$S611-4,0)&amp;"")</f>
        <v/>
      </c>
      <c r="E611" s="292" t="str">
        <f ca="1">IF(ISERROR($S611),"",OFFSET('Smelter Reference List'!$D$4,$S611-4,0)&amp;"")</f>
        <v/>
      </c>
      <c r="F611" s="292" t="str">
        <f ca="1">IF(ISERROR($S611),"",OFFSET('Smelter Reference List'!$E$4,$S611-4,0))</f>
        <v/>
      </c>
      <c r="G611" s="292" t="str">
        <f ca="1">IF(C611=$U$4,"Enter smelter details", IF(ISERROR($S611),"",OFFSET('Smelter Reference List'!$F$4,$S611-4,0)))</f>
        <v/>
      </c>
      <c r="H611" s="293" t="str">
        <f ca="1">IF(ISERROR($S611),"",OFFSET('Smelter Reference List'!$G$4,$S611-4,0))</f>
        <v/>
      </c>
      <c r="I611" s="294" t="str">
        <f ca="1">IF(ISERROR($S611),"",OFFSET('Smelter Reference List'!$H$4,$S611-4,0))</f>
        <v/>
      </c>
      <c r="J611" s="294" t="str">
        <f ca="1">IF(ISERROR($S611),"",OFFSET('Smelter Reference List'!$I$4,$S611-4,0))</f>
        <v/>
      </c>
      <c r="K611" s="295"/>
      <c r="L611" s="295"/>
      <c r="M611" s="295"/>
      <c r="N611" s="295"/>
      <c r="O611" s="295"/>
      <c r="P611" s="295"/>
      <c r="Q611" s="296"/>
      <c r="R611" s="227"/>
      <c r="S611" s="228" t="e">
        <f>IF(C611="",NA(),MATCH($B611&amp;$C611,'Smelter Reference List'!$J:$J,0))</f>
        <v>#N/A</v>
      </c>
      <c r="T611" s="229"/>
      <c r="U611" s="229">
        <f t="shared" ca="1" si="20"/>
        <v>0</v>
      </c>
      <c r="V611" s="229"/>
      <c r="W611" s="229"/>
      <c r="Y611" s="223" t="str">
        <f t="shared" si="21"/>
        <v/>
      </c>
    </row>
    <row r="612" spans="1:25" s="223" customFormat="1" ht="20.25">
      <c r="A612" s="291"/>
      <c r="B612" s="292" t="str">
        <f>IF(LEN(A612)=0,"",INDEX('Smelter Reference List'!$A:$A,MATCH($A612,'Smelter Reference List'!$E:$E,0)))</f>
        <v/>
      </c>
      <c r="C612" s="298" t="str">
        <f>IF(LEN(A612)=0,"",INDEX('Smelter Reference List'!$C:$C,MATCH($A612,'Smelter Reference List'!$E:$E,0)))</f>
        <v/>
      </c>
      <c r="D612" s="292" t="str">
        <f ca="1">IF(ISERROR($S612),"",OFFSET('Smelter Reference List'!$C$4,$S612-4,0)&amp;"")</f>
        <v/>
      </c>
      <c r="E612" s="292" t="str">
        <f ca="1">IF(ISERROR($S612),"",OFFSET('Smelter Reference List'!$D$4,$S612-4,0)&amp;"")</f>
        <v/>
      </c>
      <c r="F612" s="292" t="str">
        <f ca="1">IF(ISERROR($S612),"",OFFSET('Smelter Reference List'!$E$4,$S612-4,0))</f>
        <v/>
      </c>
      <c r="G612" s="292" t="str">
        <f ca="1">IF(C612=$U$4,"Enter smelter details", IF(ISERROR($S612),"",OFFSET('Smelter Reference List'!$F$4,$S612-4,0)))</f>
        <v/>
      </c>
      <c r="H612" s="293" t="str">
        <f ca="1">IF(ISERROR($S612),"",OFFSET('Smelter Reference List'!$G$4,$S612-4,0))</f>
        <v/>
      </c>
      <c r="I612" s="294" t="str">
        <f ca="1">IF(ISERROR($S612),"",OFFSET('Smelter Reference List'!$H$4,$S612-4,0))</f>
        <v/>
      </c>
      <c r="J612" s="294" t="str">
        <f ca="1">IF(ISERROR($S612),"",OFFSET('Smelter Reference List'!$I$4,$S612-4,0))</f>
        <v/>
      </c>
      <c r="K612" s="295"/>
      <c r="L612" s="295"/>
      <c r="M612" s="295"/>
      <c r="N612" s="295"/>
      <c r="O612" s="295"/>
      <c r="P612" s="295"/>
      <c r="Q612" s="296"/>
      <c r="R612" s="227"/>
      <c r="S612" s="228" t="e">
        <f>IF(C612="",NA(),MATCH($B612&amp;$C612,'Smelter Reference List'!$J:$J,0))</f>
        <v>#N/A</v>
      </c>
      <c r="T612" s="229"/>
      <c r="U612" s="229">
        <f t="shared" ca="1" si="20"/>
        <v>0</v>
      </c>
      <c r="V612" s="229"/>
      <c r="W612" s="229"/>
      <c r="Y612" s="223" t="str">
        <f t="shared" si="21"/>
        <v/>
      </c>
    </row>
    <row r="613" spans="1:25" s="223" customFormat="1" ht="20.25">
      <c r="A613" s="291"/>
      <c r="B613" s="292" t="str">
        <f>IF(LEN(A613)=0,"",INDEX('Smelter Reference List'!$A:$A,MATCH($A613,'Smelter Reference List'!$E:$E,0)))</f>
        <v/>
      </c>
      <c r="C613" s="298" t="str">
        <f>IF(LEN(A613)=0,"",INDEX('Smelter Reference List'!$C:$C,MATCH($A613,'Smelter Reference List'!$E:$E,0)))</f>
        <v/>
      </c>
      <c r="D613" s="292" t="str">
        <f ca="1">IF(ISERROR($S613),"",OFFSET('Smelter Reference List'!$C$4,$S613-4,0)&amp;"")</f>
        <v/>
      </c>
      <c r="E613" s="292" t="str">
        <f ca="1">IF(ISERROR($S613),"",OFFSET('Smelter Reference List'!$D$4,$S613-4,0)&amp;"")</f>
        <v/>
      </c>
      <c r="F613" s="292" t="str">
        <f ca="1">IF(ISERROR($S613),"",OFFSET('Smelter Reference List'!$E$4,$S613-4,0))</f>
        <v/>
      </c>
      <c r="G613" s="292" t="str">
        <f ca="1">IF(C613=$U$4,"Enter smelter details", IF(ISERROR($S613),"",OFFSET('Smelter Reference List'!$F$4,$S613-4,0)))</f>
        <v/>
      </c>
      <c r="H613" s="293" t="str">
        <f ca="1">IF(ISERROR($S613),"",OFFSET('Smelter Reference List'!$G$4,$S613-4,0))</f>
        <v/>
      </c>
      <c r="I613" s="294" t="str">
        <f ca="1">IF(ISERROR($S613),"",OFFSET('Smelter Reference List'!$H$4,$S613-4,0))</f>
        <v/>
      </c>
      <c r="J613" s="294" t="str">
        <f ca="1">IF(ISERROR($S613),"",OFFSET('Smelter Reference List'!$I$4,$S613-4,0))</f>
        <v/>
      </c>
      <c r="K613" s="295"/>
      <c r="L613" s="295"/>
      <c r="M613" s="295"/>
      <c r="N613" s="295"/>
      <c r="O613" s="295"/>
      <c r="P613" s="295"/>
      <c r="Q613" s="296"/>
      <c r="R613" s="227"/>
      <c r="S613" s="228" t="e">
        <f>IF(C613="",NA(),MATCH($B613&amp;$C613,'Smelter Reference List'!$J:$J,0))</f>
        <v>#N/A</v>
      </c>
      <c r="T613" s="229"/>
      <c r="U613" s="229">
        <f t="shared" ca="1" si="20"/>
        <v>0</v>
      </c>
      <c r="V613" s="229"/>
      <c r="W613" s="229"/>
      <c r="Y613" s="223" t="str">
        <f t="shared" si="21"/>
        <v/>
      </c>
    </row>
    <row r="614" spans="1:25" s="223" customFormat="1" ht="20.25">
      <c r="A614" s="291"/>
      <c r="B614" s="292" t="str">
        <f>IF(LEN(A614)=0,"",INDEX('Smelter Reference List'!$A:$A,MATCH($A614,'Smelter Reference List'!$E:$E,0)))</f>
        <v/>
      </c>
      <c r="C614" s="298" t="str">
        <f>IF(LEN(A614)=0,"",INDEX('Smelter Reference List'!$C:$C,MATCH($A614,'Smelter Reference List'!$E:$E,0)))</f>
        <v/>
      </c>
      <c r="D614" s="292" t="str">
        <f ca="1">IF(ISERROR($S614),"",OFFSET('Smelter Reference List'!$C$4,$S614-4,0)&amp;"")</f>
        <v/>
      </c>
      <c r="E614" s="292" t="str">
        <f ca="1">IF(ISERROR($S614),"",OFFSET('Smelter Reference List'!$D$4,$S614-4,0)&amp;"")</f>
        <v/>
      </c>
      <c r="F614" s="292" t="str">
        <f ca="1">IF(ISERROR($S614),"",OFFSET('Smelter Reference List'!$E$4,$S614-4,0))</f>
        <v/>
      </c>
      <c r="G614" s="292" t="str">
        <f ca="1">IF(C614=$U$4,"Enter smelter details", IF(ISERROR($S614),"",OFFSET('Smelter Reference List'!$F$4,$S614-4,0)))</f>
        <v/>
      </c>
      <c r="H614" s="293" t="str">
        <f ca="1">IF(ISERROR($S614),"",OFFSET('Smelter Reference List'!$G$4,$S614-4,0))</f>
        <v/>
      </c>
      <c r="I614" s="294" t="str">
        <f ca="1">IF(ISERROR($S614),"",OFFSET('Smelter Reference List'!$H$4,$S614-4,0))</f>
        <v/>
      </c>
      <c r="J614" s="294" t="str">
        <f ca="1">IF(ISERROR($S614),"",OFFSET('Smelter Reference List'!$I$4,$S614-4,0))</f>
        <v/>
      </c>
      <c r="K614" s="295"/>
      <c r="L614" s="295"/>
      <c r="M614" s="295"/>
      <c r="N614" s="295"/>
      <c r="O614" s="295"/>
      <c r="P614" s="295"/>
      <c r="Q614" s="296"/>
      <c r="R614" s="227"/>
      <c r="S614" s="228" t="e">
        <f>IF(C614="",NA(),MATCH($B614&amp;$C614,'Smelter Reference List'!$J:$J,0))</f>
        <v>#N/A</v>
      </c>
      <c r="T614" s="229"/>
      <c r="U614" s="229">
        <f t="shared" ca="1" si="20"/>
        <v>0</v>
      </c>
      <c r="V614" s="229"/>
      <c r="W614" s="229"/>
      <c r="Y614" s="223" t="str">
        <f t="shared" si="21"/>
        <v/>
      </c>
    </row>
    <row r="615" spans="1:25" s="223" customFormat="1" ht="20.25">
      <c r="A615" s="291"/>
      <c r="B615" s="292" t="str">
        <f>IF(LEN(A615)=0,"",INDEX('Smelter Reference List'!$A:$A,MATCH($A615,'Smelter Reference List'!$E:$E,0)))</f>
        <v/>
      </c>
      <c r="C615" s="298" t="str">
        <f>IF(LEN(A615)=0,"",INDEX('Smelter Reference List'!$C:$C,MATCH($A615,'Smelter Reference List'!$E:$E,0)))</f>
        <v/>
      </c>
      <c r="D615" s="292" t="str">
        <f ca="1">IF(ISERROR($S615),"",OFFSET('Smelter Reference List'!$C$4,$S615-4,0)&amp;"")</f>
        <v/>
      </c>
      <c r="E615" s="292" t="str">
        <f ca="1">IF(ISERROR($S615),"",OFFSET('Smelter Reference List'!$D$4,$S615-4,0)&amp;"")</f>
        <v/>
      </c>
      <c r="F615" s="292" t="str">
        <f ca="1">IF(ISERROR($S615),"",OFFSET('Smelter Reference List'!$E$4,$S615-4,0))</f>
        <v/>
      </c>
      <c r="G615" s="292" t="str">
        <f ca="1">IF(C615=$U$4,"Enter smelter details", IF(ISERROR($S615),"",OFFSET('Smelter Reference List'!$F$4,$S615-4,0)))</f>
        <v/>
      </c>
      <c r="H615" s="293" t="str">
        <f ca="1">IF(ISERROR($S615),"",OFFSET('Smelter Reference List'!$G$4,$S615-4,0))</f>
        <v/>
      </c>
      <c r="I615" s="294" t="str">
        <f ca="1">IF(ISERROR($S615),"",OFFSET('Smelter Reference List'!$H$4,$S615-4,0))</f>
        <v/>
      </c>
      <c r="J615" s="294" t="str">
        <f ca="1">IF(ISERROR($S615),"",OFFSET('Smelter Reference List'!$I$4,$S615-4,0))</f>
        <v/>
      </c>
      <c r="K615" s="295"/>
      <c r="L615" s="295"/>
      <c r="M615" s="295"/>
      <c r="N615" s="295"/>
      <c r="O615" s="295"/>
      <c r="P615" s="295"/>
      <c r="Q615" s="296"/>
      <c r="R615" s="227"/>
      <c r="S615" s="228" t="e">
        <f>IF(C615="",NA(),MATCH($B615&amp;$C615,'Smelter Reference List'!$J:$J,0))</f>
        <v>#N/A</v>
      </c>
      <c r="T615" s="229"/>
      <c r="U615" s="229">
        <f t="shared" ca="1" si="20"/>
        <v>0</v>
      </c>
      <c r="V615" s="229"/>
      <c r="W615" s="229"/>
      <c r="Y615" s="223" t="str">
        <f t="shared" si="21"/>
        <v/>
      </c>
    </row>
    <row r="616" spans="1:25" s="223" customFormat="1" ht="20.25">
      <c r="A616" s="291"/>
      <c r="B616" s="292" t="str">
        <f>IF(LEN(A616)=0,"",INDEX('Smelter Reference List'!$A:$A,MATCH($A616,'Smelter Reference List'!$E:$E,0)))</f>
        <v/>
      </c>
      <c r="C616" s="298" t="str">
        <f>IF(LEN(A616)=0,"",INDEX('Smelter Reference List'!$C:$C,MATCH($A616,'Smelter Reference List'!$E:$E,0)))</f>
        <v/>
      </c>
      <c r="D616" s="292" t="str">
        <f ca="1">IF(ISERROR($S616),"",OFFSET('Smelter Reference List'!$C$4,$S616-4,0)&amp;"")</f>
        <v/>
      </c>
      <c r="E616" s="292" t="str">
        <f ca="1">IF(ISERROR($S616),"",OFFSET('Smelter Reference List'!$D$4,$S616-4,0)&amp;"")</f>
        <v/>
      </c>
      <c r="F616" s="292" t="str">
        <f ca="1">IF(ISERROR($S616),"",OFFSET('Smelter Reference List'!$E$4,$S616-4,0))</f>
        <v/>
      </c>
      <c r="G616" s="292" t="str">
        <f ca="1">IF(C616=$U$4,"Enter smelter details", IF(ISERROR($S616),"",OFFSET('Smelter Reference List'!$F$4,$S616-4,0)))</f>
        <v/>
      </c>
      <c r="H616" s="293" t="str">
        <f ca="1">IF(ISERROR($S616),"",OFFSET('Smelter Reference List'!$G$4,$S616-4,0))</f>
        <v/>
      </c>
      <c r="I616" s="294" t="str">
        <f ca="1">IF(ISERROR($S616),"",OFFSET('Smelter Reference List'!$H$4,$S616-4,0))</f>
        <v/>
      </c>
      <c r="J616" s="294" t="str">
        <f ca="1">IF(ISERROR($S616),"",OFFSET('Smelter Reference List'!$I$4,$S616-4,0))</f>
        <v/>
      </c>
      <c r="K616" s="295"/>
      <c r="L616" s="295"/>
      <c r="M616" s="295"/>
      <c r="N616" s="295"/>
      <c r="O616" s="295"/>
      <c r="P616" s="295"/>
      <c r="Q616" s="296"/>
      <c r="R616" s="227"/>
      <c r="S616" s="228" t="e">
        <f>IF(C616="",NA(),MATCH($B616&amp;$C616,'Smelter Reference List'!$J:$J,0))</f>
        <v>#N/A</v>
      </c>
      <c r="T616" s="229"/>
      <c r="U616" s="229">
        <f t="shared" ca="1" si="20"/>
        <v>0</v>
      </c>
      <c r="V616" s="229"/>
      <c r="W616" s="229"/>
      <c r="Y616" s="223" t="str">
        <f t="shared" si="21"/>
        <v/>
      </c>
    </row>
    <row r="617" spans="1:25" s="223" customFormat="1" ht="20.25">
      <c r="A617" s="291"/>
      <c r="B617" s="292" t="str">
        <f>IF(LEN(A617)=0,"",INDEX('Smelter Reference List'!$A:$A,MATCH($A617,'Smelter Reference List'!$E:$E,0)))</f>
        <v/>
      </c>
      <c r="C617" s="298" t="str">
        <f>IF(LEN(A617)=0,"",INDEX('Smelter Reference List'!$C:$C,MATCH($A617,'Smelter Reference List'!$E:$E,0)))</f>
        <v/>
      </c>
      <c r="D617" s="292" t="str">
        <f ca="1">IF(ISERROR($S617),"",OFFSET('Smelter Reference List'!$C$4,$S617-4,0)&amp;"")</f>
        <v/>
      </c>
      <c r="E617" s="292" t="str">
        <f ca="1">IF(ISERROR($S617),"",OFFSET('Smelter Reference List'!$D$4,$S617-4,0)&amp;"")</f>
        <v/>
      </c>
      <c r="F617" s="292" t="str">
        <f ca="1">IF(ISERROR($S617),"",OFFSET('Smelter Reference List'!$E$4,$S617-4,0))</f>
        <v/>
      </c>
      <c r="G617" s="292" t="str">
        <f ca="1">IF(C617=$U$4,"Enter smelter details", IF(ISERROR($S617),"",OFFSET('Smelter Reference List'!$F$4,$S617-4,0)))</f>
        <v/>
      </c>
      <c r="H617" s="293" t="str">
        <f ca="1">IF(ISERROR($S617),"",OFFSET('Smelter Reference List'!$G$4,$S617-4,0))</f>
        <v/>
      </c>
      <c r="I617" s="294" t="str">
        <f ca="1">IF(ISERROR($S617),"",OFFSET('Smelter Reference List'!$H$4,$S617-4,0))</f>
        <v/>
      </c>
      <c r="J617" s="294" t="str">
        <f ca="1">IF(ISERROR($S617),"",OFFSET('Smelter Reference List'!$I$4,$S617-4,0))</f>
        <v/>
      </c>
      <c r="K617" s="295"/>
      <c r="L617" s="295"/>
      <c r="M617" s="295"/>
      <c r="N617" s="295"/>
      <c r="O617" s="295"/>
      <c r="P617" s="295"/>
      <c r="Q617" s="296"/>
      <c r="R617" s="227"/>
      <c r="S617" s="228" t="e">
        <f>IF(C617="",NA(),MATCH($B617&amp;$C617,'Smelter Reference List'!$J:$J,0))</f>
        <v>#N/A</v>
      </c>
      <c r="T617" s="229"/>
      <c r="U617" s="229">
        <f t="shared" ca="1" si="20"/>
        <v>0</v>
      </c>
      <c r="V617" s="229"/>
      <c r="W617" s="229"/>
      <c r="Y617" s="223" t="str">
        <f t="shared" si="21"/>
        <v/>
      </c>
    </row>
    <row r="618" spans="1:25" s="223" customFormat="1" ht="20.25">
      <c r="A618" s="291"/>
      <c r="B618" s="292" t="str">
        <f>IF(LEN(A618)=0,"",INDEX('Smelter Reference List'!$A:$A,MATCH($A618,'Smelter Reference List'!$E:$E,0)))</f>
        <v/>
      </c>
      <c r="C618" s="298" t="str">
        <f>IF(LEN(A618)=0,"",INDEX('Smelter Reference List'!$C:$C,MATCH($A618,'Smelter Reference List'!$E:$E,0)))</f>
        <v/>
      </c>
      <c r="D618" s="292" t="str">
        <f ca="1">IF(ISERROR($S618),"",OFFSET('Smelter Reference List'!$C$4,$S618-4,0)&amp;"")</f>
        <v/>
      </c>
      <c r="E618" s="292" t="str">
        <f ca="1">IF(ISERROR($S618),"",OFFSET('Smelter Reference List'!$D$4,$S618-4,0)&amp;"")</f>
        <v/>
      </c>
      <c r="F618" s="292" t="str">
        <f ca="1">IF(ISERROR($S618),"",OFFSET('Smelter Reference List'!$E$4,$S618-4,0))</f>
        <v/>
      </c>
      <c r="G618" s="292" t="str">
        <f ca="1">IF(C618=$U$4,"Enter smelter details", IF(ISERROR($S618),"",OFFSET('Smelter Reference List'!$F$4,$S618-4,0)))</f>
        <v/>
      </c>
      <c r="H618" s="293" t="str">
        <f ca="1">IF(ISERROR($S618),"",OFFSET('Smelter Reference List'!$G$4,$S618-4,0))</f>
        <v/>
      </c>
      <c r="I618" s="294" t="str">
        <f ca="1">IF(ISERROR($S618),"",OFFSET('Smelter Reference List'!$H$4,$S618-4,0))</f>
        <v/>
      </c>
      <c r="J618" s="294" t="str">
        <f ca="1">IF(ISERROR($S618),"",OFFSET('Smelter Reference List'!$I$4,$S618-4,0))</f>
        <v/>
      </c>
      <c r="K618" s="295"/>
      <c r="L618" s="295"/>
      <c r="M618" s="295"/>
      <c r="N618" s="295"/>
      <c r="O618" s="295"/>
      <c r="P618" s="295"/>
      <c r="Q618" s="296"/>
      <c r="R618" s="227"/>
      <c r="S618" s="228" t="e">
        <f>IF(C618="",NA(),MATCH($B618&amp;$C618,'Smelter Reference List'!$J:$J,0))</f>
        <v>#N/A</v>
      </c>
      <c r="T618" s="229"/>
      <c r="U618" s="229">
        <f t="shared" ca="1" si="20"/>
        <v>0</v>
      </c>
      <c r="V618" s="229"/>
      <c r="W618" s="229"/>
      <c r="Y618" s="223" t="str">
        <f t="shared" si="21"/>
        <v/>
      </c>
    </row>
    <row r="619" spans="1:25" s="223" customFormat="1" ht="20.25">
      <c r="A619" s="291"/>
      <c r="B619" s="292" t="str">
        <f>IF(LEN(A619)=0,"",INDEX('Smelter Reference List'!$A:$A,MATCH($A619,'Smelter Reference List'!$E:$E,0)))</f>
        <v/>
      </c>
      <c r="C619" s="298" t="str">
        <f>IF(LEN(A619)=0,"",INDEX('Smelter Reference List'!$C:$C,MATCH($A619,'Smelter Reference List'!$E:$E,0)))</f>
        <v/>
      </c>
      <c r="D619" s="292" t="str">
        <f ca="1">IF(ISERROR($S619),"",OFFSET('Smelter Reference List'!$C$4,$S619-4,0)&amp;"")</f>
        <v/>
      </c>
      <c r="E619" s="292" t="str">
        <f ca="1">IF(ISERROR($S619),"",OFFSET('Smelter Reference List'!$D$4,$S619-4,0)&amp;"")</f>
        <v/>
      </c>
      <c r="F619" s="292" t="str">
        <f ca="1">IF(ISERROR($S619),"",OFFSET('Smelter Reference List'!$E$4,$S619-4,0))</f>
        <v/>
      </c>
      <c r="G619" s="292" t="str">
        <f ca="1">IF(C619=$U$4,"Enter smelter details", IF(ISERROR($S619),"",OFFSET('Smelter Reference List'!$F$4,$S619-4,0)))</f>
        <v/>
      </c>
      <c r="H619" s="293" t="str">
        <f ca="1">IF(ISERROR($S619),"",OFFSET('Smelter Reference List'!$G$4,$S619-4,0))</f>
        <v/>
      </c>
      <c r="I619" s="294" t="str">
        <f ca="1">IF(ISERROR($S619),"",OFFSET('Smelter Reference List'!$H$4,$S619-4,0))</f>
        <v/>
      </c>
      <c r="J619" s="294" t="str">
        <f ca="1">IF(ISERROR($S619),"",OFFSET('Smelter Reference List'!$I$4,$S619-4,0))</f>
        <v/>
      </c>
      <c r="K619" s="295"/>
      <c r="L619" s="295"/>
      <c r="M619" s="295"/>
      <c r="N619" s="295"/>
      <c r="O619" s="295"/>
      <c r="P619" s="295"/>
      <c r="Q619" s="296"/>
      <c r="R619" s="227"/>
      <c r="S619" s="228" t="e">
        <f>IF(C619="",NA(),MATCH($B619&amp;$C619,'Smelter Reference List'!$J:$J,0))</f>
        <v>#N/A</v>
      </c>
      <c r="T619" s="229"/>
      <c r="U619" s="229">
        <f t="shared" ca="1" si="20"/>
        <v>0</v>
      </c>
      <c r="V619" s="229"/>
      <c r="W619" s="229"/>
      <c r="Y619" s="223" t="str">
        <f t="shared" si="21"/>
        <v/>
      </c>
    </row>
    <row r="620" spans="1:25" s="223" customFormat="1" ht="20.25">
      <c r="A620" s="291"/>
      <c r="B620" s="292" t="str">
        <f>IF(LEN(A620)=0,"",INDEX('Smelter Reference List'!$A:$A,MATCH($A620,'Smelter Reference List'!$E:$E,0)))</f>
        <v/>
      </c>
      <c r="C620" s="298" t="str">
        <f>IF(LEN(A620)=0,"",INDEX('Smelter Reference List'!$C:$C,MATCH($A620,'Smelter Reference List'!$E:$E,0)))</f>
        <v/>
      </c>
      <c r="D620" s="292" t="str">
        <f ca="1">IF(ISERROR($S620),"",OFFSET('Smelter Reference List'!$C$4,$S620-4,0)&amp;"")</f>
        <v/>
      </c>
      <c r="E620" s="292" t="str">
        <f ca="1">IF(ISERROR($S620),"",OFFSET('Smelter Reference List'!$D$4,$S620-4,0)&amp;"")</f>
        <v/>
      </c>
      <c r="F620" s="292" t="str">
        <f ca="1">IF(ISERROR($S620),"",OFFSET('Smelter Reference List'!$E$4,$S620-4,0))</f>
        <v/>
      </c>
      <c r="G620" s="292" t="str">
        <f ca="1">IF(C620=$U$4,"Enter smelter details", IF(ISERROR($S620),"",OFFSET('Smelter Reference List'!$F$4,$S620-4,0)))</f>
        <v/>
      </c>
      <c r="H620" s="293" t="str">
        <f ca="1">IF(ISERROR($S620),"",OFFSET('Smelter Reference List'!$G$4,$S620-4,0))</f>
        <v/>
      </c>
      <c r="I620" s="294" t="str">
        <f ca="1">IF(ISERROR($S620),"",OFFSET('Smelter Reference List'!$H$4,$S620-4,0))</f>
        <v/>
      </c>
      <c r="J620" s="294" t="str">
        <f ca="1">IF(ISERROR($S620),"",OFFSET('Smelter Reference List'!$I$4,$S620-4,0))</f>
        <v/>
      </c>
      <c r="K620" s="295"/>
      <c r="L620" s="295"/>
      <c r="M620" s="295"/>
      <c r="N620" s="295"/>
      <c r="O620" s="295"/>
      <c r="P620" s="295"/>
      <c r="Q620" s="296"/>
      <c r="R620" s="227"/>
      <c r="S620" s="228" t="e">
        <f>IF(C620="",NA(),MATCH($B620&amp;$C620,'Smelter Reference List'!$J:$J,0))</f>
        <v>#N/A</v>
      </c>
      <c r="T620" s="229"/>
      <c r="U620" s="229">
        <f t="shared" ca="1" si="20"/>
        <v>0</v>
      </c>
      <c r="V620" s="229"/>
      <c r="W620" s="229"/>
      <c r="Y620" s="223" t="str">
        <f t="shared" si="21"/>
        <v/>
      </c>
    </row>
    <row r="621" spans="1:25" s="223" customFormat="1" ht="20.25">
      <c r="A621" s="291"/>
      <c r="B621" s="292" t="str">
        <f>IF(LEN(A621)=0,"",INDEX('Smelter Reference List'!$A:$A,MATCH($A621,'Smelter Reference List'!$E:$E,0)))</f>
        <v/>
      </c>
      <c r="C621" s="298" t="str">
        <f>IF(LEN(A621)=0,"",INDEX('Smelter Reference List'!$C:$C,MATCH($A621,'Smelter Reference List'!$E:$E,0)))</f>
        <v/>
      </c>
      <c r="D621" s="292" t="str">
        <f ca="1">IF(ISERROR($S621),"",OFFSET('Smelter Reference List'!$C$4,$S621-4,0)&amp;"")</f>
        <v/>
      </c>
      <c r="E621" s="292" t="str">
        <f ca="1">IF(ISERROR($S621),"",OFFSET('Smelter Reference List'!$D$4,$S621-4,0)&amp;"")</f>
        <v/>
      </c>
      <c r="F621" s="292" t="str">
        <f ca="1">IF(ISERROR($S621),"",OFFSET('Smelter Reference List'!$E$4,$S621-4,0))</f>
        <v/>
      </c>
      <c r="G621" s="292" t="str">
        <f ca="1">IF(C621=$U$4,"Enter smelter details", IF(ISERROR($S621),"",OFFSET('Smelter Reference List'!$F$4,$S621-4,0)))</f>
        <v/>
      </c>
      <c r="H621" s="293" t="str">
        <f ca="1">IF(ISERROR($S621),"",OFFSET('Smelter Reference List'!$G$4,$S621-4,0))</f>
        <v/>
      </c>
      <c r="I621" s="294" t="str">
        <f ca="1">IF(ISERROR($S621),"",OFFSET('Smelter Reference List'!$H$4,$S621-4,0))</f>
        <v/>
      </c>
      <c r="J621" s="294" t="str">
        <f ca="1">IF(ISERROR($S621),"",OFFSET('Smelter Reference List'!$I$4,$S621-4,0))</f>
        <v/>
      </c>
      <c r="K621" s="295"/>
      <c r="L621" s="295"/>
      <c r="M621" s="295"/>
      <c r="N621" s="295"/>
      <c r="O621" s="295"/>
      <c r="P621" s="295"/>
      <c r="Q621" s="296"/>
      <c r="R621" s="227"/>
      <c r="S621" s="228" t="e">
        <f>IF(C621="",NA(),MATCH($B621&amp;$C621,'Smelter Reference List'!$J:$J,0))</f>
        <v>#N/A</v>
      </c>
      <c r="T621" s="229"/>
      <c r="U621" s="229">
        <f t="shared" ca="1" si="20"/>
        <v>0</v>
      </c>
      <c r="V621" s="229"/>
      <c r="W621" s="229"/>
      <c r="Y621" s="223" t="str">
        <f t="shared" si="21"/>
        <v/>
      </c>
    </row>
    <row r="622" spans="1:25" s="223" customFormat="1" ht="20.25">
      <c r="A622" s="291"/>
      <c r="B622" s="292" t="str">
        <f>IF(LEN(A622)=0,"",INDEX('Smelter Reference List'!$A:$A,MATCH($A622,'Smelter Reference List'!$E:$E,0)))</f>
        <v/>
      </c>
      <c r="C622" s="298" t="str">
        <f>IF(LEN(A622)=0,"",INDEX('Smelter Reference List'!$C:$C,MATCH($A622,'Smelter Reference List'!$E:$E,0)))</f>
        <v/>
      </c>
      <c r="D622" s="292" t="str">
        <f ca="1">IF(ISERROR($S622),"",OFFSET('Smelter Reference List'!$C$4,$S622-4,0)&amp;"")</f>
        <v/>
      </c>
      <c r="E622" s="292" t="str">
        <f ca="1">IF(ISERROR($S622),"",OFFSET('Smelter Reference List'!$D$4,$S622-4,0)&amp;"")</f>
        <v/>
      </c>
      <c r="F622" s="292" t="str">
        <f ca="1">IF(ISERROR($S622),"",OFFSET('Smelter Reference List'!$E$4,$S622-4,0))</f>
        <v/>
      </c>
      <c r="G622" s="292" t="str">
        <f ca="1">IF(C622=$U$4,"Enter smelter details", IF(ISERROR($S622),"",OFFSET('Smelter Reference List'!$F$4,$S622-4,0)))</f>
        <v/>
      </c>
      <c r="H622" s="293" t="str">
        <f ca="1">IF(ISERROR($S622),"",OFFSET('Smelter Reference List'!$G$4,$S622-4,0))</f>
        <v/>
      </c>
      <c r="I622" s="294" t="str">
        <f ca="1">IF(ISERROR($S622),"",OFFSET('Smelter Reference List'!$H$4,$S622-4,0))</f>
        <v/>
      </c>
      <c r="J622" s="294" t="str">
        <f ca="1">IF(ISERROR($S622),"",OFFSET('Smelter Reference List'!$I$4,$S622-4,0))</f>
        <v/>
      </c>
      <c r="K622" s="295"/>
      <c r="L622" s="295"/>
      <c r="M622" s="295"/>
      <c r="N622" s="295"/>
      <c r="O622" s="295"/>
      <c r="P622" s="295"/>
      <c r="Q622" s="296"/>
      <c r="R622" s="227"/>
      <c r="S622" s="228" t="e">
        <f>IF(C622="",NA(),MATCH($B622&amp;$C622,'Smelter Reference List'!$J:$J,0))</f>
        <v>#N/A</v>
      </c>
      <c r="T622" s="229"/>
      <c r="U622" s="229">
        <f t="shared" ca="1" si="20"/>
        <v>0</v>
      </c>
      <c r="V622" s="229"/>
      <c r="W622" s="229"/>
      <c r="Y622" s="223" t="str">
        <f t="shared" si="21"/>
        <v/>
      </c>
    </row>
    <row r="623" spans="1:25" s="223" customFormat="1" ht="20.25">
      <c r="A623" s="291"/>
      <c r="B623" s="292" t="str">
        <f>IF(LEN(A623)=0,"",INDEX('Smelter Reference List'!$A:$A,MATCH($A623,'Smelter Reference List'!$E:$E,0)))</f>
        <v/>
      </c>
      <c r="C623" s="298" t="str">
        <f>IF(LEN(A623)=0,"",INDEX('Smelter Reference List'!$C:$C,MATCH($A623,'Smelter Reference List'!$E:$E,0)))</f>
        <v/>
      </c>
      <c r="D623" s="292" t="str">
        <f ca="1">IF(ISERROR($S623),"",OFFSET('Smelter Reference List'!$C$4,$S623-4,0)&amp;"")</f>
        <v/>
      </c>
      <c r="E623" s="292" t="str">
        <f ca="1">IF(ISERROR($S623),"",OFFSET('Smelter Reference List'!$D$4,$S623-4,0)&amp;"")</f>
        <v/>
      </c>
      <c r="F623" s="292" t="str">
        <f ca="1">IF(ISERROR($S623),"",OFFSET('Smelter Reference List'!$E$4,$S623-4,0))</f>
        <v/>
      </c>
      <c r="G623" s="292" t="str">
        <f ca="1">IF(C623=$U$4,"Enter smelter details", IF(ISERROR($S623),"",OFFSET('Smelter Reference List'!$F$4,$S623-4,0)))</f>
        <v/>
      </c>
      <c r="H623" s="293" t="str">
        <f ca="1">IF(ISERROR($S623),"",OFFSET('Smelter Reference List'!$G$4,$S623-4,0))</f>
        <v/>
      </c>
      <c r="I623" s="294" t="str">
        <f ca="1">IF(ISERROR($S623),"",OFFSET('Smelter Reference List'!$H$4,$S623-4,0))</f>
        <v/>
      </c>
      <c r="J623" s="294" t="str">
        <f ca="1">IF(ISERROR($S623),"",OFFSET('Smelter Reference List'!$I$4,$S623-4,0))</f>
        <v/>
      </c>
      <c r="K623" s="295"/>
      <c r="L623" s="295"/>
      <c r="M623" s="295"/>
      <c r="N623" s="295"/>
      <c r="O623" s="295"/>
      <c r="P623" s="295"/>
      <c r="Q623" s="296"/>
      <c r="R623" s="227"/>
      <c r="S623" s="228" t="e">
        <f>IF(C623="",NA(),MATCH($B623&amp;$C623,'Smelter Reference List'!$J:$J,0))</f>
        <v>#N/A</v>
      </c>
      <c r="T623" s="229"/>
      <c r="U623" s="229">
        <f t="shared" ca="1" si="20"/>
        <v>0</v>
      </c>
      <c r="V623" s="229"/>
      <c r="W623" s="229"/>
      <c r="Y623" s="223" t="str">
        <f t="shared" si="21"/>
        <v/>
      </c>
    </row>
    <row r="624" spans="1:25" s="223" customFormat="1" ht="20.25">
      <c r="A624" s="291"/>
      <c r="B624" s="292" t="str">
        <f>IF(LEN(A624)=0,"",INDEX('Smelter Reference List'!$A:$A,MATCH($A624,'Smelter Reference List'!$E:$E,0)))</f>
        <v/>
      </c>
      <c r="C624" s="298" t="str">
        <f>IF(LEN(A624)=0,"",INDEX('Smelter Reference List'!$C:$C,MATCH($A624,'Smelter Reference List'!$E:$E,0)))</f>
        <v/>
      </c>
      <c r="D624" s="292" t="str">
        <f ca="1">IF(ISERROR($S624),"",OFFSET('Smelter Reference List'!$C$4,$S624-4,0)&amp;"")</f>
        <v/>
      </c>
      <c r="E624" s="292" t="str">
        <f ca="1">IF(ISERROR($S624),"",OFFSET('Smelter Reference List'!$D$4,$S624-4,0)&amp;"")</f>
        <v/>
      </c>
      <c r="F624" s="292" t="str">
        <f ca="1">IF(ISERROR($S624),"",OFFSET('Smelter Reference List'!$E$4,$S624-4,0))</f>
        <v/>
      </c>
      <c r="G624" s="292" t="str">
        <f ca="1">IF(C624=$U$4,"Enter smelter details", IF(ISERROR($S624),"",OFFSET('Smelter Reference List'!$F$4,$S624-4,0)))</f>
        <v/>
      </c>
      <c r="H624" s="293" t="str">
        <f ca="1">IF(ISERROR($S624),"",OFFSET('Smelter Reference List'!$G$4,$S624-4,0))</f>
        <v/>
      </c>
      <c r="I624" s="294" t="str">
        <f ca="1">IF(ISERROR($S624),"",OFFSET('Smelter Reference List'!$H$4,$S624-4,0))</f>
        <v/>
      </c>
      <c r="J624" s="294" t="str">
        <f ca="1">IF(ISERROR($S624),"",OFFSET('Smelter Reference List'!$I$4,$S624-4,0))</f>
        <v/>
      </c>
      <c r="K624" s="295"/>
      <c r="L624" s="295"/>
      <c r="M624" s="295"/>
      <c r="N624" s="295"/>
      <c r="O624" s="295"/>
      <c r="P624" s="295"/>
      <c r="Q624" s="296"/>
      <c r="R624" s="227"/>
      <c r="S624" s="228" t="e">
        <f>IF(C624="",NA(),MATCH($B624&amp;$C624,'Smelter Reference List'!$J:$J,0))</f>
        <v>#N/A</v>
      </c>
      <c r="T624" s="229"/>
      <c r="U624" s="229">
        <f t="shared" ca="1" si="20"/>
        <v>0</v>
      </c>
      <c r="V624" s="229"/>
      <c r="W624" s="229"/>
      <c r="Y624" s="223" t="str">
        <f t="shared" si="21"/>
        <v/>
      </c>
    </row>
    <row r="625" spans="1:25" s="223" customFormat="1" ht="20.25">
      <c r="A625" s="291"/>
      <c r="B625" s="292" t="str">
        <f>IF(LEN(A625)=0,"",INDEX('Smelter Reference List'!$A:$A,MATCH($A625,'Smelter Reference List'!$E:$E,0)))</f>
        <v/>
      </c>
      <c r="C625" s="298" t="str">
        <f>IF(LEN(A625)=0,"",INDEX('Smelter Reference List'!$C:$C,MATCH($A625,'Smelter Reference List'!$E:$E,0)))</f>
        <v/>
      </c>
      <c r="D625" s="292" t="str">
        <f ca="1">IF(ISERROR($S625),"",OFFSET('Smelter Reference List'!$C$4,$S625-4,0)&amp;"")</f>
        <v/>
      </c>
      <c r="E625" s="292" t="str">
        <f ca="1">IF(ISERROR($S625),"",OFFSET('Smelter Reference List'!$D$4,$S625-4,0)&amp;"")</f>
        <v/>
      </c>
      <c r="F625" s="292" t="str">
        <f ca="1">IF(ISERROR($S625),"",OFFSET('Smelter Reference List'!$E$4,$S625-4,0))</f>
        <v/>
      </c>
      <c r="G625" s="292" t="str">
        <f ca="1">IF(C625=$U$4,"Enter smelter details", IF(ISERROR($S625),"",OFFSET('Smelter Reference List'!$F$4,$S625-4,0)))</f>
        <v/>
      </c>
      <c r="H625" s="293" t="str">
        <f ca="1">IF(ISERROR($S625),"",OFFSET('Smelter Reference List'!$G$4,$S625-4,0))</f>
        <v/>
      </c>
      <c r="I625" s="294" t="str">
        <f ca="1">IF(ISERROR($S625),"",OFFSET('Smelter Reference List'!$H$4,$S625-4,0))</f>
        <v/>
      </c>
      <c r="J625" s="294" t="str">
        <f ca="1">IF(ISERROR($S625),"",OFFSET('Smelter Reference List'!$I$4,$S625-4,0))</f>
        <v/>
      </c>
      <c r="K625" s="295"/>
      <c r="L625" s="295"/>
      <c r="M625" s="295"/>
      <c r="N625" s="295"/>
      <c r="O625" s="295"/>
      <c r="P625" s="295"/>
      <c r="Q625" s="296"/>
      <c r="R625" s="227"/>
      <c r="S625" s="228" t="e">
        <f>IF(C625="",NA(),MATCH($B625&amp;$C625,'Smelter Reference List'!$J:$J,0))</f>
        <v>#N/A</v>
      </c>
      <c r="T625" s="229"/>
      <c r="U625" s="229">
        <f t="shared" ca="1" si="20"/>
        <v>0</v>
      </c>
      <c r="V625" s="229"/>
      <c r="W625" s="229"/>
      <c r="Y625" s="223" t="str">
        <f t="shared" si="21"/>
        <v/>
      </c>
    </row>
    <row r="626" spans="1:25" s="223" customFormat="1" ht="20.25">
      <c r="A626" s="291"/>
      <c r="B626" s="292" t="str">
        <f>IF(LEN(A626)=0,"",INDEX('Smelter Reference List'!$A:$A,MATCH($A626,'Smelter Reference List'!$E:$E,0)))</f>
        <v/>
      </c>
      <c r="C626" s="298" t="str">
        <f>IF(LEN(A626)=0,"",INDEX('Smelter Reference List'!$C:$C,MATCH($A626,'Smelter Reference List'!$E:$E,0)))</f>
        <v/>
      </c>
      <c r="D626" s="292" t="str">
        <f ca="1">IF(ISERROR($S626),"",OFFSET('Smelter Reference List'!$C$4,$S626-4,0)&amp;"")</f>
        <v/>
      </c>
      <c r="E626" s="292" t="str">
        <f ca="1">IF(ISERROR($S626),"",OFFSET('Smelter Reference List'!$D$4,$S626-4,0)&amp;"")</f>
        <v/>
      </c>
      <c r="F626" s="292" t="str">
        <f ca="1">IF(ISERROR($S626),"",OFFSET('Smelter Reference List'!$E$4,$S626-4,0))</f>
        <v/>
      </c>
      <c r="G626" s="292" t="str">
        <f ca="1">IF(C626=$U$4,"Enter smelter details", IF(ISERROR($S626),"",OFFSET('Smelter Reference List'!$F$4,$S626-4,0)))</f>
        <v/>
      </c>
      <c r="H626" s="293" t="str">
        <f ca="1">IF(ISERROR($S626),"",OFFSET('Smelter Reference List'!$G$4,$S626-4,0))</f>
        <v/>
      </c>
      <c r="I626" s="294" t="str">
        <f ca="1">IF(ISERROR($S626),"",OFFSET('Smelter Reference List'!$H$4,$S626-4,0))</f>
        <v/>
      </c>
      <c r="J626" s="294" t="str">
        <f ca="1">IF(ISERROR($S626),"",OFFSET('Smelter Reference List'!$I$4,$S626-4,0))</f>
        <v/>
      </c>
      <c r="K626" s="295"/>
      <c r="L626" s="295"/>
      <c r="M626" s="295"/>
      <c r="N626" s="295"/>
      <c r="O626" s="295"/>
      <c r="P626" s="295"/>
      <c r="Q626" s="296"/>
      <c r="R626" s="227"/>
      <c r="S626" s="228" t="e">
        <f>IF(C626="",NA(),MATCH($B626&amp;$C626,'Smelter Reference List'!$J:$J,0))</f>
        <v>#N/A</v>
      </c>
      <c r="T626" s="229"/>
      <c r="U626" s="229">
        <f t="shared" ca="1" si="20"/>
        <v>0</v>
      </c>
      <c r="V626" s="229"/>
      <c r="W626" s="229"/>
      <c r="Y626" s="223" t="str">
        <f t="shared" si="21"/>
        <v/>
      </c>
    </row>
    <row r="627" spans="1:25" s="223" customFormat="1" ht="20.25">
      <c r="A627" s="291"/>
      <c r="B627" s="292" t="str">
        <f>IF(LEN(A627)=0,"",INDEX('Smelter Reference List'!$A:$A,MATCH($A627,'Smelter Reference List'!$E:$E,0)))</f>
        <v/>
      </c>
      <c r="C627" s="298" t="str">
        <f>IF(LEN(A627)=0,"",INDEX('Smelter Reference List'!$C:$C,MATCH($A627,'Smelter Reference List'!$E:$E,0)))</f>
        <v/>
      </c>
      <c r="D627" s="292" t="str">
        <f ca="1">IF(ISERROR($S627),"",OFFSET('Smelter Reference List'!$C$4,$S627-4,0)&amp;"")</f>
        <v/>
      </c>
      <c r="E627" s="292" t="str">
        <f ca="1">IF(ISERROR($S627),"",OFFSET('Smelter Reference List'!$D$4,$S627-4,0)&amp;"")</f>
        <v/>
      </c>
      <c r="F627" s="292" t="str">
        <f ca="1">IF(ISERROR($S627),"",OFFSET('Smelter Reference List'!$E$4,$S627-4,0))</f>
        <v/>
      </c>
      <c r="G627" s="292" t="str">
        <f ca="1">IF(C627=$U$4,"Enter smelter details", IF(ISERROR($S627),"",OFFSET('Smelter Reference List'!$F$4,$S627-4,0)))</f>
        <v/>
      </c>
      <c r="H627" s="293" t="str">
        <f ca="1">IF(ISERROR($S627),"",OFFSET('Smelter Reference List'!$G$4,$S627-4,0))</f>
        <v/>
      </c>
      <c r="I627" s="294" t="str">
        <f ca="1">IF(ISERROR($S627),"",OFFSET('Smelter Reference List'!$H$4,$S627-4,0))</f>
        <v/>
      </c>
      <c r="J627" s="294" t="str">
        <f ca="1">IF(ISERROR($S627),"",OFFSET('Smelter Reference List'!$I$4,$S627-4,0))</f>
        <v/>
      </c>
      <c r="K627" s="295"/>
      <c r="L627" s="295"/>
      <c r="M627" s="295"/>
      <c r="N627" s="295"/>
      <c r="O627" s="295"/>
      <c r="P627" s="295"/>
      <c r="Q627" s="296"/>
      <c r="R627" s="227"/>
      <c r="S627" s="228" t="e">
        <f>IF(C627="",NA(),MATCH($B627&amp;$C627,'Smelter Reference List'!$J:$J,0))</f>
        <v>#N/A</v>
      </c>
      <c r="T627" s="229"/>
      <c r="U627" s="229">
        <f t="shared" ca="1" si="20"/>
        <v>0</v>
      </c>
      <c r="V627" s="229"/>
      <c r="W627" s="229"/>
      <c r="Y627" s="223" t="str">
        <f t="shared" si="21"/>
        <v/>
      </c>
    </row>
    <row r="628" spans="1:25" s="223" customFormat="1" ht="20.25">
      <c r="A628" s="291"/>
      <c r="B628" s="292" t="str">
        <f>IF(LEN(A628)=0,"",INDEX('Smelter Reference List'!$A:$A,MATCH($A628,'Smelter Reference List'!$E:$E,0)))</f>
        <v/>
      </c>
      <c r="C628" s="298" t="str">
        <f>IF(LEN(A628)=0,"",INDEX('Smelter Reference List'!$C:$C,MATCH($A628,'Smelter Reference List'!$E:$E,0)))</f>
        <v/>
      </c>
      <c r="D628" s="292" t="str">
        <f ca="1">IF(ISERROR($S628),"",OFFSET('Smelter Reference List'!$C$4,$S628-4,0)&amp;"")</f>
        <v/>
      </c>
      <c r="E628" s="292" t="str">
        <f ca="1">IF(ISERROR($S628),"",OFFSET('Smelter Reference List'!$D$4,$S628-4,0)&amp;"")</f>
        <v/>
      </c>
      <c r="F628" s="292" t="str">
        <f ca="1">IF(ISERROR($S628),"",OFFSET('Smelter Reference List'!$E$4,$S628-4,0))</f>
        <v/>
      </c>
      <c r="G628" s="292" t="str">
        <f ca="1">IF(C628=$U$4,"Enter smelter details", IF(ISERROR($S628),"",OFFSET('Smelter Reference List'!$F$4,$S628-4,0)))</f>
        <v/>
      </c>
      <c r="H628" s="293" t="str">
        <f ca="1">IF(ISERROR($S628),"",OFFSET('Smelter Reference List'!$G$4,$S628-4,0))</f>
        <v/>
      </c>
      <c r="I628" s="294" t="str">
        <f ca="1">IF(ISERROR($S628),"",OFFSET('Smelter Reference List'!$H$4,$S628-4,0))</f>
        <v/>
      </c>
      <c r="J628" s="294" t="str">
        <f ca="1">IF(ISERROR($S628),"",OFFSET('Smelter Reference List'!$I$4,$S628-4,0))</f>
        <v/>
      </c>
      <c r="K628" s="295"/>
      <c r="L628" s="295"/>
      <c r="M628" s="295"/>
      <c r="N628" s="295"/>
      <c r="O628" s="295"/>
      <c r="P628" s="295"/>
      <c r="Q628" s="296"/>
      <c r="R628" s="227"/>
      <c r="S628" s="228" t="e">
        <f>IF(C628="",NA(),MATCH($B628&amp;$C628,'Smelter Reference List'!$J:$J,0))</f>
        <v>#N/A</v>
      </c>
      <c r="T628" s="229"/>
      <c r="U628" s="229">
        <f t="shared" ca="1" si="20"/>
        <v>0</v>
      </c>
      <c r="V628" s="229"/>
      <c r="W628" s="229"/>
      <c r="Y628" s="223" t="str">
        <f t="shared" si="21"/>
        <v/>
      </c>
    </row>
    <row r="629" spans="1:25" s="223" customFormat="1" ht="20.25">
      <c r="A629" s="291"/>
      <c r="B629" s="292" t="str">
        <f>IF(LEN(A629)=0,"",INDEX('Smelter Reference List'!$A:$A,MATCH($A629,'Smelter Reference List'!$E:$E,0)))</f>
        <v/>
      </c>
      <c r="C629" s="298" t="str">
        <f>IF(LEN(A629)=0,"",INDEX('Smelter Reference List'!$C:$C,MATCH($A629,'Smelter Reference List'!$E:$E,0)))</f>
        <v/>
      </c>
      <c r="D629" s="292" t="str">
        <f ca="1">IF(ISERROR($S629),"",OFFSET('Smelter Reference List'!$C$4,$S629-4,0)&amp;"")</f>
        <v/>
      </c>
      <c r="E629" s="292" t="str">
        <f ca="1">IF(ISERROR($S629),"",OFFSET('Smelter Reference List'!$D$4,$S629-4,0)&amp;"")</f>
        <v/>
      </c>
      <c r="F629" s="292" t="str">
        <f ca="1">IF(ISERROR($S629),"",OFFSET('Smelter Reference List'!$E$4,$S629-4,0))</f>
        <v/>
      </c>
      <c r="G629" s="292" t="str">
        <f ca="1">IF(C629=$U$4,"Enter smelter details", IF(ISERROR($S629),"",OFFSET('Smelter Reference List'!$F$4,$S629-4,0)))</f>
        <v/>
      </c>
      <c r="H629" s="293" t="str">
        <f ca="1">IF(ISERROR($S629),"",OFFSET('Smelter Reference List'!$G$4,$S629-4,0))</f>
        <v/>
      </c>
      <c r="I629" s="294" t="str">
        <f ca="1">IF(ISERROR($S629),"",OFFSET('Smelter Reference List'!$H$4,$S629-4,0))</f>
        <v/>
      </c>
      <c r="J629" s="294" t="str">
        <f ca="1">IF(ISERROR($S629),"",OFFSET('Smelter Reference List'!$I$4,$S629-4,0))</f>
        <v/>
      </c>
      <c r="K629" s="295"/>
      <c r="L629" s="295"/>
      <c r="M629" s="295"/>
      <c r="N629" s="295"/>
      <c r="O629" s="295"/>
      <c r="P629" s="295"/>
      <c r="Q629" s="296"/>
      <c r="R629" s="227"/>
      <c r="S629" s="228" t="e">
        <f>IF(C629="",NA(),MATCH($B629&amp;$C629,'Smelter Reference List'!$J:$J,0))</f>
        <v>#N/A</v>
      </c>
      <c r="T629" s="229"/>
      <c r="U629" s="229">
        <f t="shared" ca="1" si="20"/>
        <v>0</v>
      </c>
      <c r="V629" s="229"/>
      <c r="W629" s="229"/>
      <c r="Y629" s="223" t="str">
        <f t="shared" si="21"/>
        <v/>
      </c>
    </row>
    <row r="630" spans="1:25" s="223" customFormat="1" ht="20.25">
      <c r="A630" s="291"/>
      <c r="B630" s="292" t="str">
        <f>IF(LEN(A630)=0,"",INDEX('Smelter Reference List'!$A:$A,MATCH($A630,'Smelter Reference List'!$E:$E,0)))</f>
        <v/>
      </c>
      <c r="C630" s="298" t="str">
        <f>IF(LEN(A630)=0,"",INDEX('Smelter Reference List'!$C:$C,MATCH($A630,'Smelter Reference List'!$E:$E,0)))</f>
        <v/>
      </c>
      <c r="D630" s="292" t="str">
        <f ca="1">IF(ISERROR($S630),"",OFFSET('Smelter Reference List'!$C$4,$S630-4,0)&amp;"")</f>
        <v/>
      </c>
      <c r="E630" s="292" t="str">
        <f ca="1">IF(ISERROR($S630),"",OFFSET('Smelter Reference List'!$D$4,$S630-4,0)&amp;"")</f>
        <v/>
      </c>
      <c r="F630" s="292" t="str">
        <f ca="1">IF(ISERROR($S630),"",OFFSET('Smelter Reference List'!$E$4,$S630-4,0))</f>
        <v/>
      </c>
      <c r="G630" s="292" t="str">
        <f ca="1">IF(C630=$U$4,"Enter smelter details", IF(ISERROR($S630),"",OFFSET('Smelter Reference List'!$F$4,$S630-4,0)))</f>
        <v/>
      </c>
      <c r="H630" s="293" t="str">
        <f ca="1">IF(ISERROR($S630),"",OFFSET('Smelter Reference List'!$G$4,$S630-4,0))</f>
        <v/>
      </c>
      <c r="I630" s="294" t="str">
        <f ca="1">IF(ISERROR($S630),"",OFFSET('Smelter Reference List'!$H$4,$S630-4,0))</f>
        <v/>
      </c>
      <c r="J630" s="294" t="str">
        <f ca="1">IF(ISERROR($S630),"",OFFSET('Smelter Reference List'!$I$4,$S630-4,0))</f>
        <v/>
      </c>
      <c r="K630" s="295"/>
      <c r="L630" s="295"/>
      <c r="M630" s="295"/>
      <c r="N630" s="295"/>
      <c r="O630" s="295"/>
      <c r="P630" s="295"/>
      <c r="Q630" s="296"/>
      <c r="R630" s="227"/>
      <c r="S630" s="228" t="e">
        <f>IF(C630="",NA(),MATCH($B630&amp;$C630,'Smelter Reference List'!$J:$J,0))</f>
        <v>#N/A</v>
      </c>
      <c r="T630" s="229"/>
      <c r="U630" s="229">
        <f t="shared" ca="1" si="20"/>
        <v>0</v>
      </c>
      <c r="V630" s="229"/>
      <c r="W630" s="229"/>
      <c r="Y630" s="223" t="str">
        <f t="shared" si="21"/>
        <v/>
      </c>
    </row>
    <row r="631" spans="1:25" s="223" customFormat="1" ht="20.25">
      <c r="A631" s="291"/>
      <c r="B631" s="292" t="str">
        <f>IF(LEN(A631)=0,"",INDEX('Smelter Reference List'!$A:$A,MATCH($A631,'Smelter Reference List'!$E:$E,0)))</f>
        <v/>
      </c>
      <c r="C631" s="298" t="str">
        <f>IF(LEN(A631)=0,"",INDEX('Smelter Reference List'!$C:$C,MATCH($A631,'Smelter Reference List'!$E:$E,0)))</f>
        <v/>
      </c>
      <c r="D631" s="292" t="str">
        <f ca="1">IF(ISERROR($S631),"",OFFSET('Smelter Reference List'!$C$4,$S631-4,0)&amp;"")</f>
        <v/>
      </c>
      <c r="E631" s="292" t="str">
        <f ca="1">IF(ISERROR($S631),"",OFFSET('Smelter Reference List'!$D$4,$S631-4,0)&amp;"")</f>
        <v/>
      </c>
      <c r="F631" s="292" t="str">
        <f ca="1">IF(ISERROR($S631),"",OFFSET('Smelter Reference List'!$E$4,$S631-4,0))</f>
        <v/>
      </c>
      <c r="G631" s="292" t="str">
        <f ca="1">IF(C631=$U$4,"Enter smelter details", IF(ISERROR($S631),"",OFFSET('Smelter Reference List'!$F$4,$S631-4,0)))</f>
        <v/>
      </c>
      <c r="H631" s="293" t="str">
        <f ca="1">IF(ISERROR($S631),"",OFFSET('Smelter Reference List'!$G$4,$S631-4,0))</f>
        <v/>
      </c>
      <c r="I631" s="294" t="str">
        <f ca="1">IF(ISERROR($S631),"",OFFSET('Smelter Reference List'!$H$4,$S631-4,0))</f>
        <v/>
      </c>
      <c r="J631" s="294" t="str">
        <f ca="1">IF(ISERROR($S631),"",OFFSET('Smelter Reference List'!$I$4,$S631-4,0))</f>
        <v/>
      </c>
      <c r="K631" s="295"/>
      <c r="L631" s="295"/>
      <c r="M631" s="295"/>
      <c r="N631" s="295"/>
      <c r="O631" s="295"/>
      <c r="P631" s="295"/>
      <c r="Q631" s="296"/>
      <c r="R631" s="227"/>
      <c r="S631" s="228" t="e">
        <f>IF(C631="",NA(),MATCH($B631&amp;$C631,'Smelter Reference List'!$J:$J,0))</f>
        <v>#N/A</v>
      </c>
      <c r="T631" s="229"/>
      <c r="U631" s="229">
        <f t="shared" ca="1" si="20"/>
        <v>0</v>
      </c>
      <c r="V631" s="229"/>
      <c r="W631" s="229"/>
      <c r="Y631" s="223" t="str">
        <f t="shared" si="21"/>
        <v/>
      </c>
    </row>
    <row r="632" spans="1:25" s="223" customFormat="1" ht="20.25">
      <c r="A632" s="291"/>
      <c r="B632" s="292" t="str">
        <f>IF(LEN(A632)=0,"",INDEX('Smelter Reference List'!$A:$A,MATCH($A632,'Smelter Reference List'!$E:$E,0)))</f>
        <v/>
      </c>
      <c r="C632" s="298" t="str">
        <f>IF(LEN(A632)=0,"",INDEX('Smelter Reference List'!$C:$C,MATCH($A632,'Smelter Reference List'!$E:$E,0)))</f>
        <v/>
      </c>
      <c r="D632" s="292" t="str">
        <f ca="1">IF(ISERROR($S632),"",OFFSET('Smelter Reference List'!$C$4,$S632-4,0)&amp;"")</f>
        <v/>
      </c>
      <c r="E632" s="292" t="str">
        <f ca="1">IF(ISERROR($S632),"",OFFSET('Smelter Reference List'!$D$4,$S632-4,0)&amp;"")</f>
        <v/>
      </c>
      <c r="F632" s="292" t="str">
        <f ca="1">IF(ISERROR($S632),"",OFFSET('Smelter Reference List'!$E$4,$S632-4,0))</f>
        <v/>
      </c>
      <c r="G632" s="292" t="str">
        <f ca="1">IF(C632=$U$4,"Enter smelter details", IF(ISERROR($S632),"",OFFSET('Smelter Reference List'!$F$4,$S632-4,0)))</f>
        <v/>
      </c>
      <c r="H632" s="293" t="str">
        <f ca="1">IF(ISERROR($S632),"",OFFSET('Smelter Reference List'!$G$4,$S632-4,0))</f>
        <v/>
      </c>
      <c r="I632" s="294" t="str">
        <f ca="1">IF(ISERROR($S632),"",OFFSET('Smelter Reference List'!$H$4,$S632-4,0))</f>
        <v/>
      </c>
      <c r="J632" s="294" t="str">
        <f ca="1">IF(ISERROR($S632),"",OFFSET('Smelter Reference List'!$I$4,$S632-4,0))</f>
        <v/>
      </c>
      <c r="K632" s="295"/>
      <c r="L632" s="295"/>
      <c r="M632" s="295"/>
      <c r="N632" s="295"/>
      <c r="O632" s="295"/>
      <c r="P632" s="295"/>
      <c r="Q632" s="296"/>
      <c r="R632" s="227"/>
      <c r="S632" s="228" t="e">
        <f>IF(C632="",NA(),MATCH($B632&amp;$C632,'Smelter Reference List'!$J:$J,0))</f>
        <v>#N/A</v>
      </c>
      <c r="T632" s="229"/>
      <c r="U632" s="229">
        <f t="shared" ca="1" si="20"/>
        <v>0</v>
      </c>
      <c r="V632" s="229"/>
      <c r="W632" s="229"/>
      <c r="Y632" s="223" t="str">
        <f t="shared" si="21"/>
        <v/>
      </c>
    </row>
    <row r="633" spans="1:25" s="223" customFormat="1" ht="20.25">
      <c r="A633" s="291"/>
      <c r="B633" s="292" t="str">
        <f>IF(LEN(A633)=0,"",INDEX('Smelter Reference List'!$A:$A,MATCH($A633,'Smelter Reference List'!$E:$E,0)))</f>
        <v/>
      </c>
      <c r="C633" s="298" t="str">
        <f>IF(LEN(A633)=0,"",INDEX('Smelter Reference List'!$C:$C,MATCH($A633,'Smelter Reference List'!$E:$E,0)))</f>
        <v/>
      </c>
      <c r="D633" s="292" t="str">
        <f ca="1">IF(ISERROR($S633),"",OFFSET('Smelter Reference List'!$C$4,$S633-4,0)&amp;"")</f>
        <v/>
      </c>
      <c r="E633" s="292" t="str">
        <f ca="1">IF(ISERROR($S633),"",OFFSET('Smelter Reference List'!$D$4,$S633-4,0)&amp;"")</f>
        <v/>
      </c>
      <c r="F633" s="292" t="str">
        <f ca="1">IF(ISERROR($S633),"",OFFSET('Smelter Reference List'!$E$4,$S633-4,0))</f>
        <v/>
      </c>
      <c r="G633" s="292" t="str">
        <f ca="1">IF(C633=$U$4,"Enter smelter details", IF(ISERROR($S633),"",OFFSET('Smelter Reference List'!$F$4,$S633-4,0)))</f>
        <v/>
      </c>
      <c r="H633" s="293" t="str">
        <f ca="1">IF(ISERROR($S633),"",OFFSET('Smelter Reference List'!$G$4,$S633-4,0))</f>
        <v/>
      </c>
      <c r="I633" s="294" t="str">
        <f ca="1">IF(ISERROR($S633),"",OFFSET('Smelter Reference List'!$H$4,$S633-4,0))</f>
        <v/>
      </c>
      <c r="J633" s="294" t="str">
        <f ca="1">IF(ISERROR($S633),"",OFFSET('Smelter Reference List'!$I$4,$S633-4,0))</f>
        <v/>
      </c>
      <c r="K633" s="295"/>
      <c r="L633" s="295"/>
      <c r="M633" s="295"/>
      <c r="N633" s="295"/>
      <c r="O633" s="295"/>
      <c r="P633" s="295"/>
      <c r="Q633" s="296"/>
      <c r="R633" s="227"/>
      <c r="S633" s="228" t="e">
        <f>IF(C633="",NA(),MATCH($B633&amp;$C633,'Smelter Reference List'!$J:$J,0))</f>
        <v>#N/A</v>
      </c>
      <c r="T633" s="229"/>
      <c r="U633" s="229">
        <f t="shared" ca="1" si="20"/>
        <v>0</v>
      </c>
      <c r="V633" s="229"/>
      <c r="W633" s="229"/>
      <c r="Y633" s="223" t="str">
        <f t="shared" si="21"/>
        <v/>
      </c>
    </row>
    <row r="634" spans="1:25" s="223" customFormat="1" ht="20.25">
      <c r="A634" s="291"/>
      <c r="B634" s="292" t="str">
        <f>IF(LEN(A634)=0,"",INDEX('Smelter Reference List'!$A:$A,MATCH($A634,'Smelter Reference List'!$E:$E,0)))</f>
        <v/>
      </c>
      <c r="C634" s="298" t="str">
        <f>IF(LEN(A634)=0,"",INDEX('Smelter Reference List'!$C:$C,MATCH($A634,'Smelter Reference List'!$E:$E,0)))</f>
        <v/>
      </c>
      <c r="D634" s="292" t="str">
        <f ca="1">IF(ISERROR($S634),"",OFFSET('Smelter Reference List'!$C$4,$S634-4,0)&amp;"")</f>
        <v/>
      </c>
      <c r="E634" s="292" t="str">
        <f ca="1">IF(ISERROR($S634),"",OFFSET('Smelter Reference List'!$D$4,$S634-4,0)&amp;"")</f>
        <v/>
      </c>
      <c r="F634" s="292" t="str">
        <f ca="1">IF(ISERROR($S634),"",OFFSET('Smelter Reference List'!$E$4,$S634-4,0))</f>
        <v/>
      </c>
      <c r="G634" s="292" t="str">
        <f ca="1">IF(C634=$U$4,"Enter smelter details", IF(ISERROR($S634),"",OFFSET('Smelter Reference List'!$F$4,$S634-4,0)))</f>
        <v/>
      </c>
      <c r="H634" s="293" t="str">
        <f ca="1">IF(ISERROR($S634),"",OFFSET('Smelter Reference List'!$G$4,$S634-4,0))</f>
        <v/>
      </c>
      <c r="I634" s="294" t="str">
        <f ca="1">IF(ISERROR($S634),"",OFFSET('Smelter Reference List'!$H$4,$S634-4,0))</f>
        <v/>
      </c>
      <c r="J634" s="294" t="str">
        <f ca="1">IF(ISERROR($S634),"",OFFSET('Smelter Reference List'!$I$4,$S634-4,0))</f>
        <v/>
      </c>
      <c r="K634" s="295"/>
      <c r="L634" s="295"/>
      <c r="M634" s="295"/>
      <c r="N634" s="295"/>
      <c r="O634" s="295"/>
      <c r="P634" s="295"/>
      <c r="Q634" s="296"/>
      <c r="R634" s="227"/>
      <c r="S634" s="228" t="e">
        <f>IF(C634="",NA(),MATCH($B634&amp;$C634,'Smelter Reference List'!$J:$J,0))</f>
        <v>#N/A</v>
      </c>
      <c r="T634" s="229"/>
      <c r="U634" s="229">
        <f t="shared" ca="1" si="20"/>
        <v>0</v>
      </c>
      <c r="V634" s="229"/>
      <c r="W634" s="229"/>
      <c r="Y634" s="223" t="str">
        <f t="shared" si="21"/>
        <v/>
      </c>
    </row>
    <row r="635" spans="1:25" s="223" customFormat="1" ht="20.25">
      <c r="A635" s="291"/>
      <c r="B635" s="292" t="str">
        <f>IF(LEN(A635)=0,"",INDEX('Smelter Reference List'!$A:$A,MATCH($A635,'Smelter Reference List'!$E:$E,0)))</f>
        <v/>
      </c>
      <c r="C635" s="298" t="str">
        <f>IF(LEN(A635)=0,"",INDEX('Smelter Reference List'!$C:$C,MATCH($A635,'Smelter Reference List'!$E:$E,0)))</f>
        <v/>
      </c>
      <c r="D635" s="292" t="str">
        <f ca="1">IF(ISERROR($S635),"",OFFSET('Smelter Reference List'!$C$4,$S635-4,0)&amp;"")</f>
        <v/>
      </c>
      <c r="E635" s="292" t="str">
        <f ca="1">IF(ISERROR($S635),"",OFFSET('Smelter Reference List'!$D$4,$S635-4,0)&amp;"")</f>
        <v/>
      </c>
      <c r="F635" s="292" t="str">
        <f ca="1">IF(ISERROR($S635),"",OFFSET('Smelter Reference List'!$E$4,$S635-4,0))</f>
        <v/>
      </c>
      <c r="G635" s="292" t="str">
        <f ca="1">IF(C635=$U$4,"Enter smelter details", IF(ISERROR($S635),"",OFFSET('Smelter Reference List'!$F$4,$S635-4,0)))</f>
        <v/>
      </c>
      <c r="H635" s="293" t="str">
        <f ca="1">IF(ISERROR($S635),"",OFFSET('Smelter Reference List'!$G$4,$S635-4,0))</f>
        <v/>
      </c>
      <c r="I635" s="294" t="str">
        <f ca="1">IF(ISERROR($S635),"",OFFSET('Smelter Reference List'!$H$4,$S635-4,0))</f>
        <v/>
      </c>
      <c r="J635" s="294" t="str">
        <f ca="1">IF(ISERROR($S635),"",OFFSET('Smelter Reference List'!$I$4,$S635-4,0))</f>
        <v/>
      </c>
      <c r="K635" s="295"/>
      <c r="L635" s="295"/>
      <c r="M635" s="295"/>
      <c r="N635" s="295"/>
      <c r="O635" s="295"/>
      <c r="P635" s="295"/>
      <c r="Q635" s="296"/>
      <c r="R635" s="227"/>
      <c r="S635" s="228" t="e">
        <f>IF(C635="",NA(),MATCH($B635&amp;$C635,'Smelter Reference List'!$J:$J,0))</f>
        <v>#N/A</v>
      </c>
      <c r="T635" s="229"/>
      <c r="U635" s="229">
        <f t="shared" ca="1" si="20"/>
        <v>0</v>
      </c>
      <c r="V635" s="229"/>
      <c r="W635" s="229"/>
      <c r="Y635" s="223" t="str">
        <f t="shared" si="21"/>
        <v/>
      </c>
    </row>
    <row r="636" spans="1:25" s="223" customFormat="1" ht="20.25">
      <c r="A636" s="291"/>
      <c r="B636" s="292" t="str">
        <f>IF(LEN(A636)=0,"",INDEX('Smelter Reference List'!$A:$A,MATCH($A636,'Smelter Reference List'!$E:$E,0)))</f>
        <v/>
      </c>
      <c r="C636" s="298" t="str">
        <f>IF(LEN(A636)=0,"",INDEX('Smelter Reference List'!$C:$C,MATCH($A636,'Smelter Reference List'!$E:$E,0)))</f>
        <v/>
      </c>
      <c r="D636" s="292" t="str">
        <f ca="1">IF(ISERROR($S636),"",OFFSET('Smelter Reference List'!$C$4,$S636-4,0)&amp;"")</f>
        <v/>
      </c>
      <c r="E636" s="292" t="str">
        <f ca="1">IF(ISERROR($S636),"",OFFSET('Smelter Reference List'!$D$4,$S636-4,0)&amp;"")</f>
        <v/>
      </c>
      <c r="F636" s="292" t="str">
        <f ca="1">IF(ISERROR($S636),"",OFFSET('Smelter Reference List'!$E$4,$S636-4,0))</f>
        <v/>
      </c>
      <c r="G636" s="292" t="str">
        <f ca="1">IF(C636=$U$4,"Enter smelter details", IF(ISERROR($S636),"",OFFSET('Smelter Reference List'!$F$4,$S636-4,0)))</f>
        <v/>
      </c>
      <c r="H636" s="293" t="str">
        <f ca="1">IF(ISERROR($S636),"",OFFSET('Smelter Reference List'!$G$4,$S636-4,0))</f>
        <v/>
      </c>
      <c r="I636" s="294" t="str">
        <f ca="1">IF(ISERROR($S636),"",OFFSET('Smelter Reference List'!$H$4,$S636-4,0))</f>
        <v/>
      </c>
      <c r="J636" s="294" t="str">
        <f ca="1">IF(ISERROR($S636),"",OFFSET('Smelter Reference List'!$I$4,$S636-4,0))</f>
        <v/>
      </c>
      <c r="K636" s="295"/>
      <c r="L636" s="295"/>
      <c r="M636" s="295"/>
      <c r="N636" s="295"/>
      <c r="O636" s="295"/>
      <c r="P636" s="295"/>
      <c r="Q636" s="296"/>
      <c r="R636" s="227"/>
      <c r="S636" s="228" t="e">
        <f>IF(C636="",NA(),MATCH($B636&amp;$C636,'Smelter Reference List'!$J:$J,0))</f>
        <v>#N/A</v>
      </c>
      <c r="T636" s="229"/>
      <c r="U636" s="229">
        <f t="shared" ca="1" si="20"/>
        <v>0</v>
      </c>
      <c r="V636" s="229"/>
      <c r="W636" s="229"/>
      <c r="Y636" s="223" t="str">
        <f t="shared" si="21"/>
        <v/>
      </c>
    </row>
    <row r="637" spans="1:25" s="223" customFormat="1" ht="20.25">
      <c r="A637" s="291"/>
      <c r="B637" s="292" t="str">
        <f>IF(LEN(A637)=0,"",INDEX('Smelter Reference List'!$A:$A,MATCH($A637,'Smelter Reference List'!$E:$E,0)))</f>
        <v/>
      </c>
      <c r="C637" s="298" t="str">
        <f>IF(LEN(A637)=0,"",INDEX('Smelter Reference List'!$C:$C,MATCH($A637,'Smelter Reference List'!$E:$E,0)))</f>
        <v/>
      </c>
      <c r="D637" s="292" t="str">
        <f ca="1">IF(ISERROR($S637),"",OFFSET('Smelter Reference List'!$C$4,$S637-4,0)&amp;"")</f>
        <v/>
      </c>
      <c r="E637" s="292" t="str">
        <f ca="1">IF(ISERROR($S637),"",OFFSET('Smelter Reference List'!$D$4,$S637-4,0)&amp;"")</f>
        <v/>
      </c>
      <c r="F637" s="292" t="str">
        <f ca="1">IF(ISERROR($S637),"",OFFSET('Smelter Reference List'!$E$4,$S637-4,0))</f>
        <v/>
      </c>
      <c r="G637" s="292" t="str">
        <f ca="1">IF(C637=$U$4,"Enter smelter details", IF(ISERROR($S637),"",OFFSET('Smelter Reference List'!$F$4,$S637-4,0)))</f>
        <v/>
      </c>
      <c r="H637" s="293" t="str">
        <f ca="1">IF(ISERROR($S637),"",OFFSET('Smelter Reference List'!$G$4,$S637-4,0))</f>
        <v/>
      </c>
      <c r="I637" s="294" t="str">
        <f ca="1">IF(ISERROR($S637),"",OFFSET('Smelter Reference List'!$H$4,$S637-4,0))</f>
        <v/>
      </c>
      <c r="J637" s="294" t="str">
        <f ca="1">IF(ISERROR($S637),"",OFFSET('Smelter Reference List'!$I$4,$S637-4,0))</f>
        <v/>
      </c>
      <c r="K637" s="295"/>
      <c r="L637" s="295"/>
      <c r="M637" s="295"/>
      <c r="N637" s="295"/>
      <c r="O637" s="295"/>
      <c r="P637" s="295"/>
      <c r="Q637" s="296"/>
      <c r="R637" s="227"/>
      <c r="S637" s="228" t="e">
        <f>IF(C637="",NA(),MATCH($B637&amp;$C637,'Smelter Reference List'!$J:$J,0))</f>
        <v>#N/A</v>
      </c>
      <c r="T637" s="229"/>
      <c r="U637" s="229">
        <f t="shared" ca="1" si="20"/>
        <v>0</v>
      </c>
      <c r="V637" s="229"/>
      <c r="W637" s="229"/>
      <c r="Y637" s="223" t="str">
        <f t="shared" si="21"/>
        <v/>
      </c>
    </row>
    <row r="638" spans="1:25" s="223" customFormat="1" ht="20.25">
      <c r="A638" s="291"/>
      <c r="B638" s="292" t="str">
        <f>IF(LEN(A638)=0,"",INDEX('Smelter Reference List'!$A:$A,MATCH($A638,'Smelter Reference List'!$E:$E,0)))</f>
        <v/>
      </c>
      <c r="C638" s="298" t="str">
        <f>IF(LEN(A638)=0,"",INDEX('Smelter Reference List'!$C:$C,MATCH($A638,'Smelter Reference List'!$E:$E,0)))</f>
        <v/>
      </c>
      <c r="D638" s="292" t="str">
        <f ca="1">IF(ISERROR($S638),"",OFFSET('Smelter Reference List'!$C$4,$S638-4,0)&amp;"")</f>
        <v/>
      </c>
      <c r="E638" s="292" t="str">
        <f ca="1">IF(ISERROR($S638),"",OFFSET('Smelter Reference List'!$D$4,$S638-4,0)&amp;"")</f>
        <v/>
      </c>
      <c r="F638" s="292" t="str">
        <f ca="1">IF(ISERROR($S638),"",OFFSET('Smelter Reference List'!$E$4,$S638-4,0))</f>
        <v/>
      </c>
      <c r="G638" s="292" t="str">
        <f ca="1">IF(C638=$U$4,"Enter smelter details", IF(ISERROR($S638),"",OFFSET('Smelter Reference List'!$F$4,$S638-4,0)))</f>
        <v/>
      </c>
      <c r="H638" s="293" t="str">
        <f ca="1">IF(ISERROR($S638),"",OFFSET('Smelter Reference List'!$G$4,$S638-4,0))</f>
        <v/>
      </c>
      <c r="I638" s="294" t="str">
        <f ca="1">IF(ISERROR($S638),"",OFFSET('Smelter Reference List'!$H$4,$S638-4,0))</f>
        <v/>
      </c>
      <c r="J638" s="294" t="str">
        <f ca="1">IF(ISERROR($S638),"",OFFSET('Smelter Reference List'!$I$4,$S638-4,0))</f>
        <v/>
      </c>
      <c r="K638" s="295"/>
      <c r="L638" s="295"/>
      <c r="M638" s="295"/>
      <c r="N638" s="295"/>
      <c r="O638" s="295"/>
      <c r="P638" s="295"/>
      <c r="Q638" s="296"/>
      <c r="R638" s="227"/>
      <c r="S638" s="228" t="e">
        <f>IF(C638="",NA(),MATCH($B638&amp;$C638,'Smelter Reference List'!$J:$J,0))</f>
        <v>#N/A</v>
      </c>
      <c r="T638" s="229"/>
      <c r="U638" s="229">
        <f t="shared" ca="1" si="20"/>
        <v>0</v>
      </c>
      <c r="V638" s="229"/>
      <c r="W638" s="229"/>
      <c r="Y638" s="223" t="str">
        <f t="shared" si="21"/>
        <v/>
      </c>
    </row>
    <row r="639" spans="1:25" s="223" customFormat="1" ht="20.25">
      <c r="A639" s="291"/>
      <c r="B639" s="292" t="str">
        <f>IF(LEN(A639)=0,"",INDEX('Smelter Reference List'!$A:$A,MATCH($A639,'Smelter Reference List'!$E:$E,0)))</f>
        <v/>
      </c>
      <c r="C639" s="298" t="str">
        <f>IF(LEN(A639)=0,"",INDEX('Smelter Reference List'!$C:$C,MATCH($A639,'Smelter Reference List'!$E:$E,0)))</f>
        <v/>
      </c>
      <c r="D639" s="292" t="str">
        <f ca="1">IF(ISERROR($S639),"",OFFSET('Smelter Reference List'!$C$4,$S639-4,0)&amp;"")</f>
        <v/>
      </c>
      <c r="E639" s="292" t="str">
        <f ca="1">IF(ISERROR($S639),"",OFFSET('Smelter Reference List'!$D$4,$S639-4,0)&amp;"")</f>
        <v/>
      </c>
      <c r="F639" s="292" t="str">
        <f ca="1">IF(ISERROR($S639),"",OFFSET('Smelter Reference List'!$E$4,$S639-4,0))</f>
        <v/>
      </c>
      <c r="G639" s="292" t="str">
        <f ca="1">IF(C639=$U$4,"Enter smelter details", IF(ISERROR($S639),"",OFFSET('Smelter Reference List'!$F$4,$S639-4,0)))</f>
        <v/>
      </c>
      <c r="H639" s="293" t="str">
        <f ca="1">IF(ISERROR($S639),"",OFFSET('Smelter Reference List'!$G$4,$S639-4,0))</f>
        <v/>
      </c>
      <c r="I639" s="294" t="str">
        <f ca="1">IF(ISERROR($S639),"",OFFSET('Smelter Reference List'!$H$4,$S639-4,0))</f>
        <v/>
      </c>
      <c r="J639" s="294" t="str">
        <f ca="1">IF(ISERROR($S639),"",OFFSET('Smelter Reference List'!$I$4,$S639-4,0))</f>
        <v/>
      </c>
      <c r="K639" s="295"/>
      <c r="L639" s="295"/>
      <c r="M639" s="295"/>
      <c r="N639" s="295"/>
      <c r="O639" s="295"/>
      <c r="P639" s="295"/>
      <c r="Q639" s="296"/>
      <c r="R639" s="227"/>
      <c r="S639" s="228" t="e">
        <f>IF(C639="",NA(),MATCH($B639&amp;$C639,'Smelter Reference List'!$J:$J,0))</f>
        <v>#N/A</v>
      </c>
      <c r="T639" s="229"/>
      <c r="U639" s="229">
        <f t="shared" ca="1" si="20"/>
        <v>0</v>
      </c>
      <c r="V639" s="229"/>
      <c r="W639" s="229"/>
      <c r="Y639" s="223" t="str">
        <f t="shared" si="21"/>
        <v/>
      </c>
    </row>
    <row r="640" spans="1:25" s="223" customFormat="1" ht="20.25">
      <c r="A640" s="291"/>
      <c r="B640" s="292" t="str">
        <f>IF(LEN(A640)=0,"",INDEX('Smelter Reference List'!$A:$A,MATCH($A640,'Smelter Reference List'!$E:$E,0)))</f>
        <v/>
      </c>
      <c r="C640" s="298" t="str">
        <f>IF(LEN(A640)=0,"",INDEX('Smelter Reference List'!$C:$C,MATCH($A640,'Smelter Reference List'!$E:$E,0)))</f>
        <v/>
      </c>
      <c r="D640" s="292" t="str">
        <f ca="1">IF(ISERROR($S640),"",OFFSET('Smelter Reference List'!$C$4,$S640-4,0)&amp;"")</f>
        <v/>
      </c>
      <c r="E640" s="292" t="str">
        <f ca="1">IF(ISERROR($S640),"",OFFSET('Smelter Reference List'!$D$4,$S640-4,0)&amp;"")</f>
        <v/>
      </c>
      <c r="F640" s="292" t="str">
        <f ca="1">IF(ISERROR($S640),"",OFFSET('Smelter Reference List'!$E$4,$S640-4,0))</f>
        <v/>
      </c>
      <c r="G640" s="292" t="str">
        <f ca="1">IF(C640=$U$4,"Enter smelter details", IF(ISERROR($S640),"",OFFSET('Smelter Reference List'!$F$4,$S640-4,0)))</f>
        <v/>
      </c>
      <c r="H640" s="293" t="str">
        <f ca="1">IF(ISERROR($S640),"",OFFSET('Smelter Reference List'!$G$4,$S640-4,0))</f>
        <v/>
      </c>
      <c r="I640" s="294" t="str">
        <f ca="1">IF(ISERROR($S640),"",OFFSET('Smelter Reference List'!$H$4,$S640-4,0))</f>
        <v/>
      </c>
      <c r="J640" s="294" t="str">
        <f ca="1">IF(ISERROR($S640),"",OFFSET('Smelter Reference List'!$I$4,$S640-4,0))</f>
        <v/>
      </c>
      <c r="K640" s="295"/>
      <c r="L640" s="295"/>
      <c r="M640" s="295"/>
      <c r="N640" s="295"/>
      <c r="O640" s="295"/>
      <c r="P640" s="295"/>
      <c r="Q640" s="296"/>
      <c r="R640" s="227"/>
      <c r="S640" s="228" t="e">
        <f>IF(C640="",NA(),MATCH($B640&amp;$C640,'Smelter Reference List'!$J:$J,0))</f>
        <v>#N/A</v>
      </c>
      <c r="T640" s="229"/>
      <c r="U640" s="229">
        <f t="shared" ca="1" si="20"/>
        <v>0</v>
      </c>
      <c r="V640" s="229"/>
      <c r="W640" s="229"/>
      <c r="Y640" s="223" t="str">
        <f t="shared" si="21"/>
        <v/>
      </c>
    </row>
    <row r="641" spans="1:25" s="223" customFormat="1" ht="20.25">
      <c r="A641" s="291"/>
      <c r="B641" s="292" t="str">
        <f>IF(LEN(A641)=0,"",INDEX('Smelter Reference List'!$A:$A,MATCH($A641,'Smelter Reference List'!$E:$E,0)))</f>
        <v/>
      </c>
      <c r="C641" s="298" t="str">
        <f>IF(LEN(A641)=0,"",INDEX('Smelter Reference List'!$C:$C,MATCH($A641,'Smelter Reference List'!$E:$E,0)))</f>
        <v/>
      </c>
      <c r="D641" s="292" t="str">
        <f ca="1">IF(ISERROR($S641),"",OFFSET('Smelter Reference List'!$C$4,$S641-4,0)&amp;"")</f>
        <v/>
      </c>
      <c r="E641" s="292" t="str">
        <f ca="1">IF(ISERROR($S641),"",OFFSET('Smelter Reference List'!$D$4,$S641-4,0)&amp;"")</f>
        <v/>
      </c>
      <c r="F641" s="292" t="str">
        <f ca="1">IF(ISERROR($S641),"",OFFSET('Smelter Reference List'!$E$4,$S641-4,0))</f>
        <v/>
      </c>
      <c r="G641" s="292" t="str">
        <f ca="1">IF(C641=$U$4,"Enter smelter details", IF(ISERROR($S641),"",OFFSET('Smelter Reference List'!$F$4,$S641-4,0)))</f>
        <v/>
      </c>
      <c r="H641" s="293" t="str">
        <f ca="1">IF(ISERROR($S641),"",OFFSET('Smelter Reference List'!$G$4,$S641-4,0))</f>
        <v/>
      </c>
      <c r="I641" s="294" t="str">
        <f ca="1">IF(ISERROR($S641),"",OFFSET('Smelter Reference List'!$H$4,$S641-4,0))</f>
        <v/>
      </c>
      <c r="J641" s="294" t="str">
        <f ca="1">IF(ISERROR($S641),"",OFFSET('Smelter Reference List'!$I$4,$S641-4,0))</f>
        <v/>
      </c>
      <c r="K641" s="295"/>
      <c r="L641" s="295"/>
      <c r="M641" s="295"/>
      <c r="N641" s="295"/>
      <c r="O641" s="295"/>
      <c r="P641" s="295"/>
      <c r="Q641" s="296"/>
      <c r="R641" s="227"/>
      <c r="S641" s="228" t="e">
        <f>IF(C641="",NA(),MATCH($B641&amp;$C641,'Smelter Reference List'!$J:$J,0))</f>
        <v>#N/A</v>
      </c>
      <c r="T641" s="229"/>
      <c r="U641" s="229">
        <f t="shared" ca="1" si="20"/>
        <v>0</v>
      </c>
      <c r="V641" s="229"/>
      <c r="W641" s="229"/>
      <c r="Y641" s="223" t="str">
        <f t="shared" si="21"/>
        <v/>
      </c>
    </row>
    <row r="642" spans="1:25" s="223" customFormat="1" ht="20.25">
      <c r="A642" s="291"/>
      <c r="B642" s="292" t="str">
        <f>IF(LEN(A642)=0,"",INDEX('Smelter Reference List'!$A:$A,MATCH($A642,'Smelter Reference List'!$E:$E,0)))</f>
        <v/>
      </c>
      <c r="C642" s="298" t="str">
        <f>IF(LEN(A642)=0,"",INDEX('Smelter Reference List'!$C:$C,MATCH($A642,'Smelter Reference List'!$E:$E,0)))</f>
        <v/>
      </c>
      <c r="D642" s="292" t="str">
        <f ca="1">IF(ISERROR($S642),"",OFFSET('Smelter Reference List'!$C$4,$S642-4,0)&amp;"")</f>
        <v/>
      </c>
      <c r="E642" s="292" t="str">
        <f ca="1">IF(ISERROR($S642),"",OFFSET('Smelter Reference List'!$D$4,$S642-4,0)&amp;"")</f>
        <v/>
      </c>
      <c r="F642" s="292" t="str">
        <f ca="1">IF(ISERROR($S642),"",OFFSET('Smelter Reference List'!$E$4,$S642-4,0))</f>
        <v/>
      </c>
      <c r="G642" s="292" t="str">
        <f ca="1">IF(C642=$U$4,"Enter smelter details", IF(ISERROR($S642),"",OFFSET('Smelter Reference List'!$F$4,$S642-4,0)))</f>
        <v/>
      </c>
      <c r="H642" s="293" t="str">
        <f ca="1">IF(ISERROR($S642),"",OFFSET('Smelter Reference List'!$G$4,$S642-4,0))</f>
        <v/>
      </c>
      <c r="I642" s="294" t="str">
        <f ca="1">IF(ISERROR($S642),"",OFFSET('Smelter Reference List'!$H$4,$S642-4,0))</f>
        <v/>
      </c>
      <c r="J642" s="294" t="str">
        <f ca="1">IF(ISERROR($S642),"",OFFSET('Smelter Reference List'!$I$4,$S642-4,0))</f>
        <v/>
      </c>
      <c r="K642" s="295"/>
      <c r="L642" s="295"/>
      <c r="M642" s="295"/>
      <c r="N642" s="295"/>
      <c r="O642" s="295"/>
      <c r="P642" s="295"/>
      <c r="Q642" s="296"/>
      <c r="R642" s="227"/>
      <c r="S642" s="228" t="e">
        <f>IF(C642="",NA(),MATCH($B642&amp;$C642,'Smelter Reference List'!$J:$J,0))</f>
        <v>#N/A</v>
      </c>
      <c r="T642" s="229"/>
      <c r="U642" s="229">
        <f t="shared" ca="1" si="20"/>
        <v>0</v>
      </c>
      <c r="V642" s="229"/>
      <c r="W642" s="229"/>
      <c r="Y642" s="223" t="str">
        <f t="shared" si="21"/>
        <v/>
      </c>
    </row>
    <row r="643" spans="1:25" s="223" customFormat="1" ht="20.25">
      <c r="A643" s="291"/>
      <c r="B643" s="292" t="str">
        <f>IF(LEN(A643)=0,"",INDEX('Smelter Reference List'!$A:$A,MATCH($A643,'Smelter Reference List'!$E:$E,0)))</f>
        <v/>
      </c>
      <c r="C643" s="298" t="str">
        <f>IF(LEN(A643)=0,"",INDEX('Smelter Reference List'!$C:$C,MATCH($A643,'Smelter Reference List'!$E:$E,0)))</f>
        <v/>
      </c>
      <c r="D643" s="292" t="str">
        <f ca="1">IF(ISERROR($S643),"",OFFSET('Smelter Reference List'!$C$4,$S643-4,0)&amp;"")</f>
        <v/>
      </c>
      <c r="E643" s="292" t="str">
        <f ca="1">IF(ISERROR($S643),"",OFFSET('Smelter Reference List'!$D$4,$S643-4,0)&amp;"")</f>
        <v/>
      </c>
      <c r="F643" s="292" t="str">
        <f ca="1">IF(ISERROR($S643),"",OFFSET('Smelter Reference List'!$E$4,$S643-4,0))</f>
        <v/>
      </c>
      <c r="G643" s="292" t="str">
        <f ca="1">IF(C643=$U$4,"Enter smelter details", IF(ISERROR($S643),"",OFFSET('Smelter Reference List'!$F$4,$S643-4,0)))</f>
        <v/>
      </c>
      <c r="H643" s="293" t="str">
        <f ca="1">IF(ISERROR($S643),"",OFFSET('Smelter Reference List'!$G$4,$S643-4,0))</f>
        <v/>
      </c>
      <c r="I643" s="294" t="str">
        <f ca="1">IF(ISERROR($S643),"",OFFSET('Smelter Reference List'!$H$4,$S643-4,0))</f>
        <v/>
      </c>
      <c r="J643" s="294" t="str">
        <f ca="1">IF(ISERROR($S643),"",OFFSET('Smelter Reference List'!$I$4,$S643-4,0))</f>
        <v/>
      </c>
      <c r="K643" s="295"/>
      <c r="L643" s="295"/>
      <c r="M643" s="295"/>
      <c r="N643" s="295"/>
      <c r="O643" s="295"/>
      <c r="P643" s="295"/>
      <c r="Q643" s="296"/>
      <c r="R643" s="227"/>
      <c r="S643" s="228" t="e">
        <f>IF(C643="",NA(),MATCH($B643&amp;$C643,'Smelter Reference List'!$J:$J,0))</f>
        <v>#N/A</v>
      </c>
      <c r="T643" s="229"/>
      <c r="U643" s="229">
        <f t="shared" ca="1" si="20"/>
        <v>0</v>
      </c>
      <c r="V643" s="229"/>
      <c r="W643" s="229"/>
      <c r="Y643" s="223" t="str">
        <f t="shared" si="21"/>
        <v/>
      </c>
    </row>
    <row r="644" spans="1:25" s="223" customFormat="1" ht="20.25">
      <c r="A644" s="291"/>
      <c r="B644" s="292" t="str">
        <f>IF(LEN(A644)=0,"",INDEX('Smelter Reference List'!$A:$A,MATCH($A644,'Smelter Reference List'!$E:$E,0)))</f>
        <v/>
      </c>
      <c r="C644" s="298" t="str">
        <f>IF(LEN(A644)=0,"",INDEX('Smelter Reference List'!$C:$C,MATCH($A644,'Smelter Reference List'!$E:$E,0)))</f>
        <v/>
      </c>
      <c r="D644" s="292" t="str">
        <f ca="1">IF(ISERROR($S644),"",OFFSET('Smelter Reference List'!$C$4,$S644-4,0)&amp;"")</f>
        <v/>
      </c>
      <c r="E644" s="292" t="str">
        <f ca="1">IF(ISERROR($S644),"",OFFSET('Smelter Reference List'!$D$4,$S644-4,0)&amp;"")</f>
        <v/>
      </c>
      <c r="F644" s="292" t="str">
        <f ca="1">IF(ISERROR($S644),"",OFFSET('Smelter Reference List'!$E$4,$S644-4,0))</f>
        <v/>
      </c>
      <c r="G644" s="292" t="str">
        <f ca="1">IF(C644=$U$4,"Enter smelter details", IF(ISERROR($S644),"",OFFSET('Smelter Reference List'!$F$4,$S644-4,0)))</f>
        <v/>
      </c>
      <c r="H644" s="293" t="str">
        <f ca="1">IF(ISERROR($S644),"",OFFSET('Smelter Reference List'!$G$4,$S644-4,0))</f>
        <v/>
      </c>
      <c r="I644" s="294" t="str">
        <f ca="1">IF(ISERROR($S644),"",OFFSET('Smelter Reference List'!$H$4,$S644-4,0))</f>
        <v/>
      </c>
      <c r="J644" s="294" t="str">
        <f ca="1">IF(ISERROR($S644),"",OFFSET('Smelter Reference List'!$I$4,$S644-4,0))</f>
        <v/>
      </c>
      <c r="K644" s="295"/>
      <c r="L644" s="295"/>
      <c r="M644" s="295"/>
      <c r="N644" s="295"/>
      <c r="O644" s="295"/>
      <c r="P644" s="295"/>
      <c r="Q644" s="296"/>
      <c r="R644" s="227"/>
      <c r="S644" s="228" t="e">
        <f>IF(C644="",NA(),MATCH($B644&amp;$C644,'Smelter Reference List'!$J:$J,0))</f>
        <v>#N/A</v>
      </c>
      <c r="T644" s="229"/>
      <c r="U644" s="229">
        <f t="shared" ca="1" si="20"/>
        <v>0</v>
      </c>
      <c r="V644" s="229"/>
      <c r="W644" s="229"/>
      <c r="Y644" s="223" t="str">
        <f t="shared" si="21"/>
        <v/>
      </c>
    </row>
    <row r="645" spans="1:25" s="223" customFormat="1" ht="20.25">
      <c r="A645" s="291"/>
      <c r="B645" s="292" t="str">
        <f>IF(LEN(A645)=0,"",INDEX('Smelter Reference List'!$A:$A,MATCH($A645,'Smelter Reference List'!$E:$E,0)))</f>
        <v/>
      </c>
      <c r="C645" s="298" t="str">
        <f>IF(LEN(A645)=0,"",INDEX('Smelter Reference List'!$C:$C,MATCH($A645,'Smelter Reference List'!$E:$E,0)))</f>
        <v/>
      </c>
      <c r="D645" s="292" t="str">
        <f ca="1">IF(ISERROR($S645),"",OFFSET('Smelter Reference List'!$C$4,$S645-4,0)&amp;"")</f>
        <v/>
      </c>
      <c r="E645" s="292" t="str">
        <f ca="1">IF(ISERROR($S645),"",OFFSET('Smelter Reference List'!$D$4,$S645-4,0)&amp;"")</f>
        <v/>
      </c>
      <c r="F645" s="292" t="str">
        <f ca="1">IF(ISERROR($S645),"",OFFSET('Smelter Reference List'!$E$4,$S645-4,0))</f>
        <v/>
      </c>
      <c r="G645" s="292" t="str">
        <f ca="1">IF(C645=$U$4,"Enter smelter details", IF(ISERROR($S645),"",OFFSET('Smelter Reference List'!$F$4,$S645-4,0)))</f>
        <v/>
      </c>
      <c r="H645" s="293" t="str">
        <f ca="1">IF(ISERROR($S645),"",OFFSET('Smelter Reference List'!$G$4,$S645-4,0))</f>
        <v/>
      </c>
      <c r="I645" s="294" t="str">
        <f ca="1">IF(ISERROR($S645),"",OFFSET('Smelter Reference List'!$H$4,$S645-4,0))</f>
        <v/>
      </c>
      <c r="J645" s="294" t="str">
        <f ca="1">IF(ISERROR($S645),"",OFFSET('Smelter Reference List'!$I$4,$S645-4,0))</f>
        <v/>
      </c>
      <c r="K645" s="295"/>
      <c r="L645" s="295"/>
      <c r="M645" s="295"/>
      <c r="N645" s="295"/>
      <c r="O645" s="295"/>
      <c r="P645" s="295"/>
      <c r="Q645" s="296"/>
      <c r="R645" s="227"/>
      <c r="S645" s="228" t="e">
        <f>IF(C645="",NA(),MATCH($B645&amp;$C645,'Smelter Reference List'!$J:$J,0))</f>
        <v>#N/A</v>
      </c>
      <c r="T645" s="229"/>
      <c r="U645" s="229">
        <f t="shared" ref="U645:U708" ca="1" si="22">IF(AND(C645="Smelter not listed",OR(LEN(D645)=0,LEN(E645)=0)),1,0)</f>
        <v>0</v>
      </c>
      <c r="V645" s="229"/>
      <c r="W645" s="229"/>
      <c r="Y645" s="223" t="str">
        <f t="shared" ref="Y645:Y708" si="23">B645&amp;C645</f>
        <v/>
      </c>
    </row>
    <row r="646" spans="1:25" s="223" customFormat="1" ht="20.25">
      <c r="A646" s="291"/>
      <c r="B646" s="292" t="str">
        <f>IF(LEN(A646)=0,"",INDEX('Smelter Reference List'!$A:$A,MATCH($A646,'Smelter Reference List'!$E:$E,0)))</f>
        <v/>
      </c>
      <c r="C646" s="298" t="str">
        <f>IF(LEN(A646)=0,"",INDEX('Smelter Reference List'!$C:$C,MATCH($A646,'Smelter Reference List'!$E:$E,0)))</f>
        <v/>
      </c>
      <c r="D646" s="292" t="str">
        <f ca="1">IF(ISERROR($S646),"",OFFSET('Smelter Reference List'!$C$4,$S646-4,0)&amp;"")</f>
        <v/>
      </c>
      <c r="E646" s="292" t="str">
        <f ca="1">IF(ISERROR($S646),"",OFFSET('Smelter Reference List'!$D$4,$S646-4,0)&amp;"")</f>
        <v/>
      </c>
      <c r="F646" s="292" t="str">
        <f ca="1">IF(ISERROR($S646),"",OFFSET('Smelter Reference List'!$E$4,$S646-4,0))</f>
        <v/>
      </c>
      <c r="G646" s="292" t="str">
        <f ca="1">IF(C646=$U$4,"Enter smelter details", IF(ISERROR($S646),"",OFFSET('Smelter Reference List'!$F$4,$S646-4,0)))</f>
        <v/>
      </c>
      <c r="H646" s="293" t="str">
        <f ca="1">IF(ISERROR($S646),"",OFFSET('Smelter Reference List'!$G$4,$S646-4,0))</f>
        <v/>
      </c>
      <c r="I646" s="294" t="str">
        <f ca="1">IF(ISERROR($S646),"",OFFSET('Smelter Reference List'!$H$4,$S646-4,0))</f>
        <v/>
      </c>
      <c r="J646" s="294" t="str">
        <f ca="1">IF(ISERROR($S646),"",OFFSET('Smelter Reference List'!$I$4,$S646-4,0))</f>
        <v/>
      </c>
      <c r="K646" s="295"/>
      <c r="L646" s="295"/>
      <c r="M646" s="295"/>
      <c r="N646" s="295"/>
      <c r="O646" s="295"/>
      <c r="P646" s="295"/>
      <c r="Q646" s="296"/>
      <c r="R646" s="227"/>
      <c r="S646" s="228" t="e">
        <f>IF(C646="",NA(),MATCH($B646&amp;$C646,'Smelter Reference List'!$J:$J,0))</f>
        <v>#N/A</v>
      </c>
      <c r="T646" s="229"/>
      <c r="U646" s="229">
        <f t="shared" ca="1" si="22"/>
        <v>0</v>
      </c>
      <c r="V646" s="229"/>
      <c r="W646" s="229"/>
      <c r="Y646" s="223" t="str">
        <f t="shared" si="23"/>
        <v/>
      </c>
    </row>
    <row r="647" spans="1:25" s="223" customFormat="1" ht="20.25">
      <c r="A647" s="291"/>
      <c r="B647" s="292" t="str">
        <f>IF(LEN(A647)=0,"",INDEX('Smelter Reference List'!$A:$A,MATCH($A647,'Smelter Reference List'!$E:$E,0)))</f>
        <v/>
      </c>
      <c r="C647" s="298" t="str">
        <f>IF(LEN(A647)=0,"",INDEX('Smelter Reference List'!$C:$C,MATCH($A647,'Smelter Reference List'!$E:$E,0)))</f>
        <v/>
      </c>
      <c r="D647" s="292" t="str">
        <f ca="1">IF(ISERROR($S647),"",OFFSET('Smelter Reference List'!$C$4,$S647-4,0)&amp;"")</f>
        <v/>
      </c>
      <c r="E647" s="292" t="str">
        <f ca="1">IF(ISERROR($S647),"",OFFSET('Smelter Reference List'!$D$4,$S647-4,0)&amp;"")</f>
        <v/>
      </c>
      <c r="F647" s="292" t="str">
        <f ca="1">IF(ISERROR($S647),"",OFFSET('Smelter Reference List'!$E$4,$S647-4,0))</f>
        <v/>
      </c>
      <c r="G647" s="292" t="str">
        <f ca="1">IF(C647=$U$4,"Enter smelter details", IF(ISERROR($S647),"",OFFSET('Smelter Reference List'!$F$4,$S647-4,0)))</f>
        <v/>
      </c>
      <c r="H647" s="293" t="str">
        <f ca="1">IF(ISERROR($S647),"",OFFSET('Smelter Reference List'!$G$4,$S647-4,0))</f>
        <v/>
      </c>
      <c r="I647" s="294" t="str">
        <f ca="1">IF(ISERROR($S647),"",OFFSET('Smelter Reference List'!$H$4,$S647-4,0))</f>
        <v/>
      </c>
      <c r="J647" s="294" t="str">
        <f ca="1">IF(ISERROR($S647),"",OFFSET('Smelter Reference List'!$I$4,$S647-4,0))</f>
        <v/>
      </c>
      <c r="K647" s="295"/>
      <c r="L647" s="295"/>
      <c r="M647" s="295"/>
      <c r="N647" s="295"/>
      <c r="O647" s="295"/>
      <c r="P647" s="295"/>
      <c r="Q647" s="296"/>
      <c r="R647" s="227"/>
      <c r="S647" s="228" t="e">
        <f>IF(C647="",NA(),MATCH($B647&amp;$C647,'Smelter Reference List'!$J:$J,0))</f>
        <v>#N/A</v>
      </c>
      <c r="T647" s="229"/>
      <c r="U647" s="229">
        <f t="shared" ca="1" si="22"/>
        <v>0</v>
      </c>
      <c r="V647" s="229"/>
      <c r="W647" s="229"/>
      <c r="Y647" s="223" t="str">
        <f t="shared" si="23"/>
        <v/>
      </c>
    </row>
    <row r="648" spans="1:25" s="223" customFormat="1" ht="20.25">
      <c r="A648" s="291"/>
      <c r="B648" s="292" t="str">
        <f>IF(LEN(A648)=0,"",INDEX('Smelter Reference List'!$A:$A,MATCH($A648,'Smelter Reference List'!$E:$E,0)))</f>
        <v/>
      </c>
      <c r="C648" s="298" t="str">
        <f>IF(LEN(A648)=0,"",INDEX('Smelter Reference List'!$C:$C,MATCH($A648,'Smelter Reference List'!$E:$E,0)))</f>
        <v/>
      </c>
      <c r="D648" s="292" t="str">
        <f ca="1">IF(ISERROR($S648),"",OFFSET('Smelter Reference List'!$C$4,$S648-4,0)&amp;"")</f>
        <v/>
      </c>
      <c r="E648" s="292" t="str">
        <f ca="1">IF(ISERROR($S648),"",OFFSET('Smelter Reference List'!$D$4,$S648-4,0)&amp;"")</f>
        <v/>
      </c>
      <c r="F648" s="292" t="str">
        <f ca="1">IF(ISERROR($S648),"",OFFSET('Smelter Reference List'!$E$4,$S648-4,0))</f>
        <v/>
      </c>
      <c r="G648" s="292" t="str">
        <f ca="1">IF(C648=$U$4,"Enter smelter details", IF(ISERROR($S648),"",OFFSET('Smelter Reference List'!$F$4,$S648-4,0)))</f>
        <v/>
      </c>
      <c r="H648" s="293" t="str">
        <f ca="1">IF(ISERROR($S648),"",OFFSET('Smelter Reference List'!$G$4,$S648-4,0))</f>
        <v/>
      </c>
      <c r="I648" s="294" t="str">
        <f ca="1">IF(ISERROR($S648),"",OFFSET('Smelter Reference List'!$H$4,$S648-4,0))</f>
        <v/>
      </c>
      <c r="J648" s="294" t="str">
        <f ca="1">IF(ISERROR($S648),"",OFFSET('Smelter Reference List'!$I$4,$S648-4,0))</f>
        <v/>
      </c>
      <c r="K648" s="295"/>
      <c r="L648" s="295"/>
      <c r="M648" s="295"/>
      <c r="N648" s="295"/>
      <c r="O648" s="295"/>
      <c r="P648" s="295"/>
      <c r="Q648" s="296"/>
      <c r="R648" s="227"/>
      <c r="S648" s="228" t="e">
        <f>IF(C648="",NA(),MATCH($B648&amp;$C648,'Smelter Reference List'!$J:$J,0))</f>
        <v>#N/A</v>
      </c>
      <c r="T648" s="229"/>
      <c r="U648" s="229">
        <f t="shared" ca="1" si="22"/>
        <v>0</v>
      </c>
      <c r="V648" s="229"/>
      <c r="W648" s="229"/>
      <c r="Y648" s="223" t="str">
        <f t="shared" si="23"/>
        <v/>
      </c>
    </row>
    <row r="649" spans="1:25" s="223" customFormat="1" ht="20.25">
      <c r="A649" s="291"/>
      <c r="B649" s="292" t="str">
        <f>IF(LEN(A649)=0,"",INDEX('Smelter Reference List'!$A:$A,MATCH($A649,'Smelter Reference List'!$E:$E,0)))</f>
        <v/>
      </c>
      <c r="C649" s="298" t="str">
        <f>IF(LEN(A649)=0,"",INDEX('Smelter Reference List'!$C:$C,MATCH($A649,'Smelter Reference List'!$E:$E,0)))</f>
        <v/>
      </c>
      <c r="D649" s="292" t="str">
        <f ca="1">IF(ISERROR($S649),"",OFFSET('Smelter Reference List'!$C$4,$S649-4,0)&amp;"")</f>
        <v/>
      </c>
      <c r="E649" s="292" t="str">
        <f ca="1">IF(ISERROR($S649),"",OFFSET('Smelter Reference List'!$D$4,$S649-4,0)&amp;"")</f>
        <v/>
      </c>
      <c r="F649" s="292" t="str">
        <f ca="1">IF(ISERROR($S649),"",OFFSET('Smelter Reference List'!$E$4,$S649-4,0))</f>
        <v/>
      </c>
      <c r="G649" s="292" t="str">
        <f ca="1">IF(C649=$U$4,"Enter smelter details", IF(ISERROR($S649),"",OFFSET('Smelter Reference List'!$F$4,$S649-4,0)))</f>
        <v/>
      </c>
      <c r="H649" s="293" t="str">
        <f ca="1">IF(ISERROR($S649),"",OFFSET('Smelter Reference List'!$G$4,$S649-4,0))</f>
        <v/>
      </c>
      <c r="I649" s="294" t="str">
        <f ca="1">IF(ISERROR($S649),"",OFFSET('Smelter Reference List'!$H$4,$S649-4,0))</f>
        <v/>
      </c>
      <c r="J649" s="294" t="str">
        <f ca="1">IF(ISERROR($S649),"",OFFSET('Smelter Reference List'!$I$4,$S649-4,0))</f>
        <v/>
      </c>
      <c r="K649" s="295"/>
      <c r="L649" s="295"/>
      <c r="M649" s="295"/>
      <c r="N649" s="295"/>
      <c r="O649" s="295"/>
      <c r="P649" s="295"/>
      <c r="Q649" s="296"/>
      <c r="R649" s="227"/>
      <c r="S649" s="228" t="e">
        <f>IF(C649="",NA(),MATCH($B649&amp;$C649,'Smelter Reference List'!$J:$J,0))</f>
        <v>#N/A</v>
      </c>
      <c r="T649" s="229"/>
      <c r="U649" s="229">
        <f t="shared" ca="1" si="22"/>
        <v>0</v>
      </c>
      <c r="V649" s="229"/>
      <c r="W649" s="229"/>
      <c r="Y649" s="223" t="str">
        <f t="shared" si="23"/>
        <v/>
      </c>
    </row>
    <row r="650" spans="1:25" s="223" customFormat="1" ht="20.25">
      <c r="A650" s="291"/>
      <c r="B650" s="292" t="str">
        <f>IF(LEN(A650)=0,"",INDEX('Smelter Reference List'!$A:$A,MATCH($A650,'Smelter Reference List'!$E:$E,0)))</f>
        <v/>
      </c>
      <c r="C650" s="298" t="str">
        <f>IF(LEN(A650)=0,"",INDEX('Smelter Reference List'!$C:$C,MATCH($A650,'Smelter Reference List'!$E:$E,0)))</f>
        <v/>
      </c>
      <c r="D650" s="292" t="str">
        <f ca="1">IF(ISERROR($S650),"",OFFSET('Smelter Reference List'!$C$4,$S650-4,0)&amp;"")</f>
        <v/>
      </c>
      <c r="E650" s="292" t="str">
        <f ca="1">IF(ISERROR($S650),"",OFFSET('Smelter Reference List'!$D$4,$S650-4,0)&amp;"")</f>
        <v/>
      </c>
      <c r="F650" s="292" t="str">
        <f ca="1">IF(ISERROR($S650),"",OFFSET('Smelter Reference List'!$E$4,$S650-4,0))</f>
        <v/>
      </c>
      <c r="G650" s="292" t="str">
        <f ca="1">IF(C650=$U$4,"Enter smelter details", IF(ISERROR($S650),"",OFFSET('Smelter Reference List'!$F$4,$S650-4,0)))</f>
        <v/>
      </c>
      <c r="H650" s="293" t="str">
        <f ca="1">IF(ISERROR($S650),"",OFFSET('Smelter Reference List'!$G$4,$S650-4,0))</f>
        <v/>
      </c>
      <c r="I650" s="294" t="str">
        <f ca="1">IF(ISERROR($S650),"",OFFSET('Smelter Reference List'!$H$4,$S650-4,0))</f>
        <v/>
      </c>
      <c r="J650" s="294" t="str">
        <f ca="1">IF(ISERROR($S650),"",OFFSET('Smelter Reference List'!$I$4,$S650-4,0))</f>
        <v/>
      </c>
      <c r="K650" s="295"/>
      <c r="L650" s="295"/>
      <c r="M650" s="295"/>
      <c r="N650" s="295"/>
      <c r="O650" s="295"/>
      <c r="P650" s="295"/>
      <c r="Q650" s="296"/>
      <c r="R650" s="227"/>
      <c r="S650" s="228" t="e">
        <f>IF(C650="",NA(),MATCH($B650&amp;$C650,'Smelter Reference List'!$J:$J,0))</f>
        <v>#N/A</v>
      </c>
      <c r="T650" s="229"/>
      <c r="U650" s="229">
        <f t="shared" ca="1" si="22"/>
        <v>0</v>
      </c>
      <c r="V650" s="229"/>
      <c r="W650" s="229"/>
      <c r="Y650" s="223" t="str">
        <f t="shared" si="23"/>
        <v/>
      </c>
    </row>
    <row r="651" spans="1:25" s="223" customFormat="1" ht="20.25">
      <c r="A651" s="291"/>
      <c r="B651" s="292" t="str">
        <f>IF(LEN(A651)=0,"",INDEX('Smelter Reference List'!$A:$A,MATCH($A651,'Smelter Reference List'!$E:$E,0)))</f>
        <v/>
      </c>
      <c r="C651" s="298" t="str">
        <f>IF(LEN(A651)=0,"",INDEX('Smelter Reference List'!$C:$C,MATCH($A651,'Smelter Reference List'!$E:$E,0)))</f>
        <v/>
      </c>
      <c r="D651" s="292" t="str">
        <f ca="1">IF(ISERROR($S651),"",OFFSET('Smelter Reference List'!$C$4,$S651-4,0)&amp;"")</f>
        <v/>
      </c>
      <c r="E651" s="292" t="str">
        <f ca="1">IF(ISERROR($S651),"",OFFSET('Smelter Reference List'!$D$4,$S651-4,0)&amp;"")</f>
        <v/>
      </c>
      <c r="F651" s="292" t="str">
        <f ca="1">IF(ISERROR($S651),"",OFFSET('Smelter Reference List'!$E$4,$S651-4,0))</f>
        <v/>
      </c>
      <c r="G651" s="292" t="str">
        <f ca="1">IF(C651=$U$4,"Enter smelter details", IF(ISERROR($S651),"",OFFSET('Smelter Reference List'!$F$4,$S651-4,0)))</f>
        <v/>
      </c>
      <c r="H651" s="293" t="str">
        <f ca="1">IF(ISERROR($S651),"",OFFSET('Smelter Reference List'!$G$4,$S651-4,0))</f>
        <v/>
      </c>
      <c r="I651" s="294" t="str">
        <f ca="1">IF(ISERROR($S651),"",OFFSET('Smelter Reference List'!$H$4,$S651-4,0))</f>
        <v/>
      </c>
      <c r="J651" s="294" t="str">
        <f ca="1">IF(ISERROR($S651),"",OFFSET('Smelter Reference List'!$I$4,$S651-4,0))</f>
        <v/>
      </c>
      <c r="K651" s="295"/>
      <c r="L651" s="295"/>
      <c r="M651" s="295"/>
      <c r="N651" s="295"/>
      <c r="O651" s="295"/>
      <c r="P651" s="295"/>
      <c r="Q651" s="296"/>
      <c r="R651" s="227"/>
      <c r="S651" s="228" t="e">
        <f>IF(C651="",NA(),MATCH($B651&amp;$C651,'Smelter Reference List'!$J:$J,0))</f>
        <v>#N/A</v>
      </c>
      <c r="T651" s="229"/>
      <c r="U651" s="229">
        <f t="shared" ca="1" si="22"/>
        <v>0</v>
      </c>
      <c r="V651" s="229"/>
      <c r="W651" s="229"/>
      <c r="Y651" s="223" t="str">
        <f t="shared" si="23"/>
        <v/>
      </c>
    </row>
    <row r="652" spans="1:25" s="223" customFormat="1" ht="20.25">
      <c r="A652" s="291"/>
      <c r="B652" s="292" t="str">
        <f>IF(LEN(A652)=0,"",INDEX('Smelter Reference List'!$A:$A,MATCH($A652,'Smelter Reference List'!$E:$E,0)))</f>
        <v/>
      </c>
      <c r="C652" s="298" t="str">
        <f>IF(LEN(A652)=0,"",INDEX('Smelter Reference List'!$C:$C,MATCH($A652,'Smelter Reference List'!$E:$E,0)))</f>
        <v/>
      </c>
      <c r="D652" s="292" t="str">
        <f ca="1">IF(ISERROR($S652),"",OFFSET('Smelter Reference List'!$C$4,$S652-4,0)&amp;"")</f>
        <v/>
      </c>
      <c r="E652" s="292" t="str">
        <f ca="1">IF(ISERROR($S652),"",OFFSET('Smelter Reference List'!$D$4,$S652-4,0)&amp;"")</f>
        <v/>
      </c>
      <c r="F652" s="292" t="str">
        <f ca="1">IF(ISERROR($S652),"",OFFSET('Smelter Reference List'!$E$4,$S652-4,0))</f>
        <v/>
      </c>
      <c r="G652" s="292" t="str">
        <f ca="1">IF(C652=$U$4,"Enter smelter details", IF(ISERROR($S652),"",OFFSET('Smelter Reference List'!$F$4,$S652-4,0)))</f>
        <v/>
      </c>
      <c r="H652" s="293" t="str">
        <f ca="1">IF(ISERROR($S652),"",OFFSET('Smelter Reference List'!$G$4,$S652-4,0))</f>
        <v/>
      </c>
      <c r="I652" s="294" t="str">
        <f ca="1">IF(ISERROR($S652),"",OFFSET('Smelter Reference List'!$H$4,$S652-4,0))</f>
        <v/>
      </c>
      <c r="J652" s="294" t="str">
        <f ca="1">IF(ISERROR($S652),"",OFFSET('Smelter Reference List'!$I$4,$S652-4,0))</f>
        <v/>
      </c>
      <c r="K652" s="295"/>
      <c r="L652" s="295"/>
      <c r="M652" s="295"/>
      <c r="N652" s="295"/>
      <c r="O652" s="295"/>
      <c r="P652" s="295"/>
      <c r="Q652" s="296"/>
      <c r="R652" s="227"/>
      <c r="S652" s="228" t="e">
        <f>IF(C652="",NA(),MATCH($B652&amp;$C652,'Smelter Reference List'!$J:$J,0))</f>
        <v>#N/A</v>
      </c>
      <c r="T652" s="229"/>
      <c r="U652" s="229">
        <f t="shared" ca="1" si="22"/>
        <v>0</v>
      </c>
      <c r="V652" s="229"/>
      <c r="W652" s="229"/>
      <c r="Y652" s="223" t="str">
        <f t="shared" si="23"/>
        <v/>
      </c>
    </row>
    <row r="653" spans="1:25" s="223" customFormat="1" ht="20.25">
      <c r="A653" s="291"/>
      <c r="B653" s="292" t="str">
        <f>IF(LEN(A653)=0,"",INDEX('Smelter Reference List'!$A:$A,MATCH($A653,'Smelter Reference List'!$E:$E,0)))</f>
        <v/>
      </c>
      <c r="C653" s="298" t="str">
        <f>IF(LEN(A653)=0,"",INDEX('Smelter Reference List'!$C:$C,MATCH($A653,'Smelter Reference List'!$E:$E,0)))</f>
        <v/>
      </c>
      <c r="D653" s="292" t="str">
        <f ca="1">IF(ISERROR($S653),"",OFFSET('Smelter Reference List'!$C$4,$S653-4,0)&amp;"")</f>
        <v/>
      </c>
      <c r="E653" s="292" t="str">
        <f ca="1">IF(ISERROR($S653),"",OFFSET('Smelter Reference List'!$D$4,$S653-4,0)&amp;"")</f>
        <v/>
      </c>
      <c r="F653" s="292" t="str">
        <f ca="1">IF(ISERROR($S653),"",OFFSET('Smelter Reference List'!$E$4,$S653-4,0))</f>
        <v/>
      </c>
      <c r="G653" s="292" t="str">
        <f ca="1">IF(C653=$U$4,"Enter smelter details", IF(ISERROR($S653),"",OFFSET('Smelter Reference List'!$F$4,$S653-4,0)))</f>
        <v/>
      </c>
      <c r="H653" s="293" t="str">
        <f ca="1">IF(ISERROR($S653),"",OFFSET('Smelter Reference List'!$G$4,$S653-4,0))</f>
        <v/>
      </c>
      <c r="I653" s="294" t="str">
        <f ca="1">IF(ISERROR($S653),"",OFFSET('Smelter Reference List'!$H$4,$S653-4,0))</f>
        <v/>
      </c>
      <c r="J653" s="294" t="str">
        <f ca="1">IF(ISERROR($S653),"",OFFSET('Smelter Reference List'!$I$4,$S653-4,0))</f>
        <v/>
      </c>
      <c r="K653" s="295"/>
      <c r="L653" s="295"/>
      <c r="M653" s="295"/>
      <c r="N653" s="295"/>
      <c r="O653" s="295"/>
      <c r="P653" s="295"/>
      <c r="Q653" s="296"/>
      <c r="R653" s="227"/>
      <c r="S653" s="228" t="e">
        <f>IF(C653="",NA(),MATCH($B653&amp;$C653,'Smelter Reference List'!$J:$J,0))</f>
        <v>#N/A</v>
      </c>
      <c r="T653" s="229"/>
      <c r="U653" s="229">
        <f t="shared" ca="1" si="22"/>
        <v>0</v>
      </c>
      <c r="V653" s="229"/>
      <c r="W653" s="229"/>
      <c r="Y653" s="223" t="str">
        <f t="shared" si="23"/>
        <v/>
      </c>
    </row>
    <row r="654" spans="1:25" s="223" customFormat="1" ht="20.25">
      <c r="A654" s="291"/>
      <c r="B654" s="292" t="str">
        <f>IF(LEN(A654)=0,"",INDEX('Smelter Reference List'!$A:$A,MATCH($A654,'Smelter Reference List'!$E:$E,0)))</f>
        <v/>
      </c>
      <c r="C654" s="298" t="str">
        <f>IF(LEN(A654)=0,"",INDEX('Smelter Reference List'!$C:$C,MATCH($A654,'Smelter Reference List'!$E:$E,0)))</f>
        <v/>
      </c>
      <c r="D654" s="292" t="str">
        <f ca="1">IF(ISERROR($S654),"",OFFSET('Smelter Reference List'!$C$4,$S654-4,0)&amp;"")</f>
        <v/>
      </c>
      <c r="E654" s="292" t="str">
        <f ca="1">IF(ISERROR($S654),"",OFFSET('Smelter Reference List'!$D$4,$S654-4,0)&amp;"")</f>
        <v/>
      </c>
      <c r="F654" s="292" t="str">
        <f ca="1">IF(ISERROR($S654),"",OFFSET('Smelter Reference List'!$E$4,$S654-4,0))</f>
        <v/>
      </c>
      <c r="G654" s="292" t="str">
        <f ca="1">IF(C654=$U$4,"Enter smelter details", IF(ISERROR($S654),"",OFFSET('Smelter Reference List'!$F$4,$S654-4,0)))</f>
        <v/>
      </c>
      <c r="H654" s="293" t="str">
        <f ca="1">IF(ISERROR($S654),"",OFFSET('Smelter Reference List'!$G$4,$S654-4,0))</f>
        <v/>
      </c>
      <c r="I654" s="294" t="str">
        <f ca="1">IF(ISERROR($S654),"",OFFSET('Smelter Reference List'!$H$4,$S654-4,0))</f>
        <v/>
      </c>
      <c r="J654" s="294" t="str">
        <f ca="1">IF(ISERROR($S654),"",OFFSET('Smelter Reference List'!$I$4,$S654-4,0))</f>
        <v/>
      </c>
      <c r="K654" s="295"/>
      <c r="L654" s="295"/>
      <c r="M654" s="295"/>
      <c r="N654" s="295"/>
      <c r="O654" s="295"/>
      <c r="P654" s="295"/>
      <c r="Q654" s="296"/>
      <c r="R654" s="227"/>
      <c r="S654" s="228" t="e">
        <f>IF(C654="",NA(),MATCH($B654&amp;$C654,'Smelter Reference List'!$J:$J,0))</f>
        <v>#N/A</v>
      </c>
      <c r="T654" s="229"/>
      <c r="U654" s="229">
        <f t="shared" ca="1" si="22"/>
        <v>0</v>
      </c>
      <c r="V654" s="229"/>
      <c r="W654" s="229"/>
      <c r="Y654" s="223" t="str">
        <f t="shared" si="23"/>
        <v/>
      </c>
    </row>
    <row r="655" spans="1:25" s="223" customFormat="1" ht="20.25">
      <c r="A655" s="291"/>
      <c r="B655" s="292" t="str">
        <f>IF(LEN(A655)=0,"",INDEX('Smelter Reference List'!$A:$A,MATCH($A655,'Smelter Reference List'!$E:$E,0)))</f>
        <v/>
      </c>
      <c r="C655" s="298" t="str">
        <f>IF(LEN(A655)=0,"",INDEX('Smelter Reference List'!$C:$C,MATCH($A655,'Smelter Reference List'!$E:$E,0)))</f>
        <v/>
      </c>
      <c r="D655" s="292" t="str">
        <f ca="1">IF(ISERROR($S655),"",OFFSET('Smelter Reference List'!$C$4,$S655-4,0)&amp;"")</f>
        <v/>
      </c>
      <c r="E655" s="292" t="str">
        <f ca="1">IF(ISERROR($S655),"",OFFSET('Smelter Reference List'!$D$4,$S655-4,0)&amp;"")</f>
        <v/>
      </c>
      <c r="F655" s="292" t="str">
        <f ca="1">IF(ISERROR($S655),"",OFFSET('Smelter Reference List'!$E$4,$S655-4,0))</f>
        <v/>
      </c>
      <c r="G655" s="292" t="str">
        <f ca="1">IF(C655=$U$4,"Enter smelter details", IF(ISERROR($S655),"",OFFSET('Smelter Reference List'!$F$4,$S655-4,0)))</f>
        <v/>
      </c>
      <c r="H655" s="293" t="str">
        <f ca="1">IF(ISERROR($S655),"",OFFSET('Smelter Reference List'!$G$4,$S655-4,0))</f>
        <v/>
      </c>
      <c r="I655" s="294" t="str">
        <f ca="1">IF(ISERROR($S655),"",OFFSET('Smelter Reference List'!$H$4,$S655-4,0))</f>
        <v/>
      </c>
      <c r="J655" s="294" t="str">
        <f ca="1">IF(ISERROR($S655),"",OFFSET('Smelter Reference List'!$I$4,$S655-4,0))</f>
        <v/>
      </c>
      <c r="K655" s="295"/>
      <c r="L655" s="295"/>
      <c r="M655" s="295"/>
      <c r="N655" s="295"/>
      <c r="O655" s="295"/>
      <c r="P655" s="295"/>
      <c r="Q655" s="296"/>
      <c r="R655" s="227"/>
      <c r="S655" s="228" t="e">
        <f>IF(C655="",NA(),MATCH($B655&amp;$C655,'Smelter Reference List'!$J:$J,0))</f>
        <v>#N/A</v>
      </c>
      <c r="T655" s="229"/>
      <c r="U655" s="229">
        <f t="shared" ca="1" si="22"/>
        <v>0</v>
      </c>
      <c r="V655" s="229"/>
      <c r="W655" s="229"/>
      <c r="Y655" s="223" t="str">
        <f t="shared" si="23"/>
        <v/>
      </c>
    </row>
    <row r="656" spans="1:25" s="223" customFormat="1" ht="20.25">
      <c r="A656" s="291"/>
      <c r="B656" s="292" t="str">
        <f>IF(LEN(A656)=0,"",INDEX('Smelter Reference List'!$A:$A,MATCH($A656,'Smelter Reference List'!$E:$E,0)))</f>
        <v/>
      </c>
      <c r="C656" s="298" t="str">
        <f>IF(LEN(A656)=0,"",INDEX('Smelter Reference List'!$C:$C,MATCH($A656,'Smelter Reference List'!$E:$E,0)))</f>
        <v/>
      </c>
      <c r="D656" s="292" t="str">
        <f ca="1">IF(ISERROR($S656),"",OFFSET('Smelter Reference List'!$C$4,$S656-4,0)&amp;"")</f>
        <v/>
      </c>
      <c r="E656" s="292" t="str">
        <f ca="1">IF(ISERROR($S656),"",OFFSET('Smelter Reference List'!$D$4,$S656-4,0)&amp;"")</f>
        <v/>
      </c>
      <c r="F656" s="292" t="str">
        <f ca="1">IF(ISERROR($S656),"",OFFSET('Smelter Reference List'!$E$4,$S656-4,0))</f>
        <v/>
      </c>
      <c r="G656" s="292" t="str">
        <f ca="1">IF(C656=$U$4,"Enter smelter details", IF(ISERROR($S656),"",OFFSET('Smelter Reference List'!$F$4,$S656-4,0)))</f>
        <v/>
      </c>
      <c r="H656" s="293" t="str">
        <f ca="1">IF(ISERROR($S656),"",OFFSET('Smelter Reference List'!$G$4,$S656-4,0))</f>
        <v/>
      </c>
      <c r="I656" s="294" t="str">
        <f ca="1">IF(ISERROR($S656),"",OFFSET('Smelter Reference List'!$H$4,$S656-4,0))</f>
        <v/>
      </c>
      <c r="J656" s="294" t="str">
        <f ca="1">IF(ISERROR($S656),"",OFFSET('Smelter Reference List'!$I$4,$S656-4,0))</f>
        <v/>
      </c>
      <c r="K656" s="295"/>
      <c r="L656" s="295"/>
      <c r="M656" s="295"/>
      <c r="N656" s="295"/>
      <c r="O656" s="295"/>
      <c r="P656" s="295"/>
      <c r="Q656" s="296"/>
      <c r="R656" s="227"/>
      <c r="S656" s="228" t="e">
        <f>IF(C656="",NA(),MATCH($B656&amp;$C656,'Smelter Reference List'!$J:$J,0))</f>
        <v>#N/A</v>
      </c>
      <c r="T656" s="229"/>
      <c r="U656" s="229">
        <f t="shared" ca="1" si="22"/>
        <v>0</v>
      </c>
      <c r="V656" s="229"/>
      <c r="W656" s="229"/>
      <c r="Y656" s="223" t="str">
        <f t="shared" si="23"/>
        <v/>
      </c>
    </row>
    <row r="657" spans="1:25" s="223" customFormat="1" ht="20.25">
      <c r="A657" s="291"/>
      <c r="B657" s="292" t="str">
        <f>IF(LEN(A657)=0,"",INDEX('Smelter Reference List'!$A:$A,MATCH($A657,'Smelter Reference List'!$E:$E,0)))</f>
        <v/>
      </c>
      <c r="C657" s="298" t="str">
        <f>IF(LEN(A657)=0,"",INDEX('Smelter Reference List'!$C:$C,MATCH($A657,'Smelter Reference List'!$E:$E,0)))</f>
        <v/>
      </c>
      <c r="D657" s="292" t="str">
        <f ca="1">IF(ISERROR($S657),"",OFFSET('Smelter Reference List'!$C$4,$S657-4,0)&amp;"")</f>
        <v/>
      </c>
      <c r="E657" s="292" t="str">
        <f ca="1">IF(ISERROR($S657),"",OFFSET('Smelter Reference List'!$D$4,$S657-4,0)&amp;"")</f>
        <v/>
      </c>
      <c r="F657" s="292" t="str">
        <f ca="1">IF(ISERROR($S657),"",OFFSET('Smelter Reference List'!$E$4,$S657-4,0))</f>
        <v/>
      </c>
      <c r="G657" s="292" t="str">
        <f ca="1">IF(C657=$U$4,"Enter smelter details", IF(ISERROR($S657),"",OFFSET('Smelter Reference List'!$F$4,$S657-4,0)))</f>
        <v/>
      </c>
      <c r="H657" s="293" t="str">
        <f ca="1">IF(ISERROR($S657),"",OFFSET('Smelter Reference List'!$G$4,$S657-4,0))</f>
        <v/>
      </c>
      <c r="I657" s="294" t="str">
        <f ca="1">IF(ISERROR($S657),"",OFFSET('Smelter Reference List'!$H$4,$S657-4,0))</f>
        <v/>
      </c>
      <c r="J657" s="294" t="str">
        <f ca="1">IF(ISERROR($S657),"",OFFSET('Smelter Reference List'!$I$4,$S657-4,0))</f>
        <v/>
      </c>
      <c r="K657" s="295"/>
      <c r="L657" s="295"/>
      <c r="M657" s="295"/>
      <c r="N657" s="295"/>
      <c r="O657" s="295"/>
      <c r="P657" s="295"/>
      <c r="Q657" s="296"/>
      <c r="R657" s="227"/>
      <c r="S657" s="228" t="e">
        <f>IF(C657="",NA(),MATCH($B657&amp;$C657,'Smelter Reference List'!$J:$J,0))</f>
        <v>#N/A</v>
      </c>
      <c r="T657" s="229"/>
      <c r="U657" s="229">
        <f t="shared" ca="1" si="22"/>
        <v>0</v>
      </c>
      <c r="V657" s="229"/>
      <c r="W657" s="229"/>
      <c r="Y657" s="223" t="str">
        <f t="shared" si="23"/>
        <v/>
      </c>
    </row>
    <row r="658" spans="1:25" s="223" customFormat="1" ht="20.25">
      <c r="A658" s="291"/>
      <c r="B658" s="292" t="str">
        <f>IF(LEN(A658)=0,"",INDEX('Smelter Reference List'!$A:$A,MATCH($A658,'Smelter Reference List'!$E:$E,0)))</f>
        <v/>
      </c>
      <c r="C658" s="298" t="str">
        <f>IF(LEN(A658)=0,"",INDEX('Smelter Reference List'!$C:$C,MATCH($A658,'Smelter Reference List'!$E:$E,0)))</f>
        <v/>
      </c>
      <c r="D658" s="292" t="str">
        <f ca="1">IF(ISERROR($S658),"",OFFSET('Smelter Reference List'!$C$4,$S658-4,0)&amp;"")</f>
        <v/>
      </c>
      <c r="E658" s="292" t="str">
        <f ca="1">IF(ISERROR($S658),"",OFFSET('Smelter Reference List'!$D$4,$S658-4,0)&amp;"")</f>
        <v/>
      </c>
      <c r="F658" s="292" t="str">
        <f ca="1">IF(ISERROR($S658),"",OFFSET('Smelter Reference List'!$E$4,$S658-4,0))</f>
        <v/>
      </c>
      <c r="G658" s="292" t="str">
        <f ca="1">IF(C658=$U$4,"Enter smelter details", IF(ISERROR($S658),"",OFFSET('Smelter Reference List'!$F$4,$S658-4,0)))</f>
        <v/>
      </c>
      <c r="H658" s="293" t="str">
        <f ca="1">IF(ISERROR($S658),"",OFFSET('Smelter Reference List'!$G$4,$S658-4,0))</f>
        <v/>
      </c>
      <c r="I658" s="294" t="str">
        <f ca="1">IF(ISERROR($S658),"",OFFSET('Smelter Reference List'!$H$4,$S658-4,0))</f>
        <v/>
      </c>
      <c r="J658" s="294" t="str">
        <f ca="1">IF(ISERROR($S658),"",OFFSET('Smelter Reference List'!$I$4,$S658-4,0))</f>
        <v/>
      </c>
      <c r="K658" s="295"/>
      <c r="L658" s="295"/>
      <c r="M658" s="295"/>
      <c r="N658" s="295"/>
      <c r="O658" s="295"/>
      <c r="P658" s="295"/>
      <c r="Q658" s="296"/>
      <c r="R658" s="227"/>
      <c r="S658" s="228" t="e">
        <f>IF(C658="",NA(),MATCH($B658&amp;$C658,'Smelter Reference List'!$J:$J,0))</f>
        <v>#N/A</v>
      </c>
      <c r="T658" s="229"/>
      <c r="U658" s="229">
        <f t="shared" ca="1" si="22"/>
        <v>0</v>
      </c>
      <c r="V658" s="229"/>
      <c r="W658" s="229"/>
      <c r="Y658" s="223" t="str">
        <f t="shared" si="23"/>
        <v/>
      </c>
    </row>
    <row r="659" spans="1:25" s="223" customFormat="1" ht="20.25">
      <c r="A659" s="291"/>
      <c r="B659" s="292" t="str">
        <f>IF(LEN(A659)=0,"",INDEX('Smelter Reference List'!$A:$A,MATCH($A659,'Smelter Reference List'!$E:$E,0)))</f>
        <v/>
      </c>
      <c r="C659" s="298" t="str">
        <f>IF(LEN(A659)=0,"",INDEX('Smelter Reference List'!$C:$C,MATCH($A659,'Smelter Reference List'!$E:$E,0)))</f>
        <v/>
      </c>
      <c r="D659" s="292" t="str">
        <f ca="1">IF(ISERROR($S659),"",OFFSET('Smelter Reference List'!$C$4,$S659-4,0)&amp;"")</f>
        <v/>
      </c>
      <c r="E659" s="292" t="str">
        <f ca="1">IF(ISERROR($S659),"",OFFSET('Smelter Reference List'!$D$4,$S659-4,0)&amp;"")</f>
        <v/>
      </c>
      <c r="F659" s="292" t="str">
        <f ca="1">IF(ISERROR($S659),"",OFFSET('Smelter Reference List'!$E$4,$S659-4,0))</f>
        <v/>
      </c>
      <c r="G659" s="292" t="str">
        <f ca="1">IF(C659=$U$4,"Enter smelter details", IF(ISERROR($S659),"",OFFSET('Smelter Reference List'!$F$4,$S659-4,0)))</f>
        <v/>
      </c>
      <c r="H659" s="293" t="str">
        <f ca="1">IF(ISERROR($S659),"",OFFSET('Smelter Reference List'!$G$4,$S659-4,0))</f>
        <v/>
      </c>
      <c r="I659" s="294" t="str">
        <f ca="1">IF(ISERROR($S659),"",OFFSET('Smelter Reference List'!$H$4,$S659-4,0))</f>
        <v/>
      </c>
      <c r="J659" s="294" t="str">
        <f ca="1">IF(ISERROR($S659),"",OFFSET('Smelter Reference List'!$I$4,$S659-4,0))</f>
        <v/>
      </c>
      <c r="K659" s="295"/>
      <c r="L659" s="295"/>
      <c r="M659" s="295"/>
      <c r="N659" s="295"/>
      <c r="O659" s="295"/>
      <c r="P659" s="295"/>
      <c r="Q659" s="296"/>
      <c r="R659" s="227"/>
      <c r="S659" s="228" t="e">
        <f>IF(C659="",NA(),MATCH($B659&amp;$C659,'Smelter Reference List'!$J:$J,0))</f>
        <v>#N/A</v>
      </c>
      <c r="T659" s="229"/>
      <c r="U659" s="229">
        <f t="shared" ca="1" si="22"/>
        <v>0</v>
      </c>
      <c r="V659" s="229"/>
      <c r="W659" s="229"/>
      <c r="Y659" s="223" t="str">
        <f t="shared" si="23"/>
        <v/>
      </c>
    </row>
    <row r="660" spans="1:25" s="223" customFormat="1" ht="20.25">
      <c r="A660" s="291"/>
      <c r="B660" s="292" t="str">
        <f>IF(LEN(A660)=0,"",INDEX('Smelter Reference List'!$A:$A,MATCH($A660,'Smelter Reference List'!$E:$E,0)))</f>
        <v/>
      </c>
      <c r="C660" s="298" t="str">
        <f>IF(LEN(A660)=0,"",INDEX('Smelter Reference List'!$C:$C,MATCH($A660,'Smelter Reference List'!$E:$E,0)))</f>
        <v/>
      </c>
      <c r="D660" s="292" t="str">
        <f ca="1">IF(ISERROR($S660),"",OFFSET('Smelter Reference List'!$C$4,$S660-4,0)&amp;"")</f>
        <v/>
      </c>
      <c r="E660" s="292" t="str">
        <f ca="1">IF(ISERROR($S660),"",OFFSET('Smelter Reference List'!$D$4,$S660-4,0)&amp;"")</f>
        <v/>
      </c>
      <c r="F660" s="292" t="str">
        <f ca="1">IF(ISERROR($S660),"",OFFSET('Smelter Reference List'!$E$4,$S660-4,0))</f>
        <v/>
      </c>
      <c r="G660" s="292" t="str">
        <f ca="1">IF(C660=$U$4,"Enter smelter details", IF(ISERROR($S660),"",OFFSET('Smelter Reference List'!$F$4,$S660-4,0)))</f>
        <v/>
      </c>
      <c r="H660" s="293" t="str">
        <f ca="1">IF(ISERROR($S660),"",OFFSET('Smelter Reference List'!$G$4,$S660-4,0))</f>
        <v/>
      </c>
      <c r="I660" s="294" t="str">
        <f ca="1">IF(ISERROR($S660),"",OFFSET('Smelter Reference List'!$H$4,$S660-4,0))</f>
        <v/>
      </c>
      <c r="J660" s="294" t="str">
        <f ca="1">IF(ISERROR($S660),"",OFFSET('Smelter Reference List'!$I$4,$S660-4,0))</f>
        <v/>
      </c>
      <c r="K660" s="295"/>
      <c r="L660" s="295"/>
      <c r="M660" s="295"/>
      <c r="N660" s="295"/>
      <c r="O660" s="295"/>
      <c r="P660" s="295"/>
      <c r="Q660" s="296"/>
      <c r="R660" s="227"/>
      <c r="S660" s="228" t="e">
        <f>IF(C660="",NA(),MATCH($B660&amp;$C660,'Smelter Reference List'!$J:$J,0))</f>
        <v>#N/A</v>
      </c>
      <c r="T660" s="229"/>
      <c r="U660" s="229">
        <f t="shared" ca="1" si="22"/>
        <v>0</v>
      </c>
      <c r="V660" s="229"/>
      <c r="W660" s="229"/>
      <c r="Y660" s="223" t="str">
        <f t="shared" si="23"/>
        <v/>
      </c>
    </row>
    <row r="661" spans="1:25" s="223" customFormat="1" ht="20.25">
      <c r="A661" s="291"/>
      <c r="B661" s="292" t="str">
        <f>IF(LEN(A661)=0,"",INDEX('Smelter Reference List'!$A:$A,MATCH($A661,'Smelter Reference List'!$E:$E,0)))</f>
        <v/>
      </c>
      <c r="C661" s="298" t="str">
        <f>IF(LEN(A661)=0,"",INDEX('Smelter Reference List'!$C:$C,MATCH($A661,'Smelter Reference List'!$E:$E,0)))</f>
        <v/>
      </c>
      <c r="D661" s="292" t="str">
        <f ca="1">IF(ISERROR($S661),"",OFFSET('Smelter Reference List'!$C$4,$S661-4,0)&amp;"")</f>
        <v/>
      </c>
      <c r="E661" s="292" t="str">
        <f ca="1">IF(ISERROR($S661),"",OFFSET('Smelter Reference List'!$D$4,$S661-4,0)&amp;"")</f>
        <v/>
      </c>
      <c r="F661" s="292" t="str">
        <f ca="1">IF(ISERROR($S661),"",OFFSET('Smelter Reference List'!$E$4,$S661-4,0))</f>
        <v/>
      </c>
      <c r="G661" s="292" t="str">
        <f ca="1">IF(C661=$U$4,"Enter smelter details", IF(ISERROR($S661),"",OFFSET('Smelter Reference List'!$F$4,$S661-4,0)))</f>
        <v/>
      </c>
      <c r="H661" s="293" t="str">
        <f ca="1">IF(ISERROR($S661),"",OFFSET('Smelter Reference List'!$G$4,$S661-4,0))</f>
        <v/>
      </c>
      <c r="I661" s="294" t="str">
        <f ca="1">IF(ISERROR($S661),"",OFFSET('Smelter Reference List'!$H$4,$S661-4,0))</f>
        <v/>
      </c>
      <c r="J661" s="294" t="str">
        <f ca="1">IF(ISERROR($S661),"",OFFSET('Smelter Reference List'!$I$4,$S661-4,0))</f>
        <v/>
      </c>
      <c r="K661" s="295"/>
      <c r="L661" s="295"/>
      <c r="M661" s="295"/>
      <c r="N661" s="295"/>
      <c r="O661" s="295"/>
      <c r="P661" s="295"/>
      <c r="Q661" s="296"/>
      <c r="R661" s="227"/>
      <c r="S661" s="228" t="e">
        <f>IF(C661="",NA(),MATCH($B661&amp;$C661,'Smelter Reference List'!$J:$J,0))</f>
        <v>#N/A</v>
      </c>
      <c r="T661" s="229"/>
      <c r="U661" s="229">
        <f t="shared" ca="1" si="22"/>
        <v>0</v>
      </c>
      <c r="V661" s="229"/>
      <c r="W661" s="229"/>
      <c r="Y661" s="223" t="str">
        <f t="shared" si="23"/>
        <v/>
      </c>
    </row>
    <row r="662" spans="1:25" s="223" customFormat="1" ht="20.25">
      <c r="A662" s="291"/>
      <c r="B662" s="292" t="str">
        <f>IF(LEN(A662)=0,"",INDEX('Smelter Reference List'!$A:$A,MATCH($A662,'Smelter Reference List'!$E:$E,0)))</f>
        <v/>
      </c>
      <c r="C662" s="298" t="str">
        <f>IF(LEN(A662)=0,"",INDEX('Smelter Reference List'!$C:$C,MATCH($A662,'Smelter Reference List'!$E:$E,0)))</f>
        <v/>
      </c>
      <c r="D662" s="292" t="str">
        <f ca="1">IF(ISERROR($S662),"",OFFSET('Smelter Reference List'!$C$4,$S662-4,0)&amp;"")</f>
        <v/>
      </c>
      <c r="E662" s="292" t="str">
        <f ca="1">IF(ISERROR($S662),"",OFFSET('Smelter Reference List'!$D$4,$S662-4,0)&amp;"")</f>
        <v/>
      </c>
      <c r="F662" s="292" t="str">
        <f ca="1">IF(ISERROR($S662),"",OFFSET('Smelter Reference List'!$E$4,$S662-4,0))</f>
        <v/>
      </c>
      <c r="G662" s="292" t="str">
        <f ca="1">IF(C662=$U$4,"Enter smelter details", IF(ISERROR($S662),"",OFFSET('Smelter Reference List'!$F$4,$S662-4,0)))</f>
        <v/>
      </c>
      <c r="H662" s="293" t="str">
        <f ca="1">IF(ISERROR($S662),"",OFFSET('Smelter Reference List'!$G$4,$S662-4,0))</f>
        <v/>
      </c>
      <c r="I662" s="294" t="str">
        <f ca="1">IF(ISERROR($S662),"",OFFSET('Smelter Reference List'!$H$4,$S662-4,0))</f>
        <v/>
      </c>
      <c r="J662" s="294" t="str">
        <f ca="1">IF(ISERROR($S662),"",OFFSET('Smelter Reference List'!$I$4,$S662-4,0))</f>
        <v/>
      </c>
      <c r="K662" s="295"/>
      <c r="L662" s="295"/>
      <c r="M662" s="295"/>
      <c r="N662" s="295"/>
      <c r="O662" s="295"/>
      <c r="P662" s="295"/>
      <c r="Q662" s="296"/>
      <c r="R662" s="227"/>
      <c r="S662" s="228" t="e">
        <f>IF(C662="",NA(),MATCH($B662&amp;$C662,'Smelter Reference List'!$J:$J,0))</f>
        <v>#N/A</v>
      </c>
      <c r="T662" s="229"/>
      <c r="U662" s="229">
        <f t="shared" ca="1" si="22"/>
        <v>0</v>
      </c>
      <c r="V662" s="229"/>
      <c r="W662" s="229"/>
      <c r="Y662" s="223" t="str">
        <f t="shared" si="23"/>
        <v/>
      </c>
    </row>
    <row r="663" spans="1:25" s="223" customFormat="1" ht="20.25">
      <c r="A663" s="291"/>
      <c r="B663" s="292" t="str">
        <f>IF(LEN(A663)=0,"",INDEX('Smelter Reference List'!$A:$A,MATCH($A663,'Smelter Reference List'!$E:$E,0)))</f>
        <v/>
      </c>
      <c r="C663" s="298" t="str">
        <f>IF(LEN(A663)=0,"",INDEX('Smelter Reference List'!$C:$C,MATCH($A663,'Smelter Reference List'!$E:$E,0)))</f>
        <v/>
      </c>
      <c r="D663" s="292" t="str">
        <f ca="1">IF(ISERROR($S663),"",OFFSET('Smelter Reference List'!$C$4,$S663-4,0)&amp;"")</f>
        <v/>
      </c>
      <c r="E663" s="292" t="str">
        <f ca="1">IF(ISERROR($S663),"",OFFSET('Smelter Reference List'!$D$4,$S663-4,0)&amp;"")</f>
        <v/>
      </c>
      <c r="F663" s="292" t="str">
        <f ca="1">IF(ISERROR($S663),"",OFFSET('Smelter Reference List'!$E$4,$S663-4,0))</f>
        <v/>
      </c>
      <c r="G663" s="292" t="str">
        <f ca="1">IF(C663=$U$4,"Enter smelter details", IF(ISERROR($S663),"",OFFSET('Smelter Reference List'!$F$4,$S663-4,0)))</f>
        <v/>
      </c>
      <c r="H663" s="293" t="str">
        <f ca="1">IF(ISERROR($S663),"",OFFSET('Smelter Reference List'!$G$4,$S663-4,0))</f>
        <v/>
      </c>
      <c r="I663" s="294" t="str">
        <f ca="1">IF(ISERROR($S663),"",OFFSET('Smelter Reference List'!$H$4,$S663-4,0))</f>
        <v/>
      </c>
      <c r="J663" s="294" t="str">
        <f ca="1">IF(ISERROR($S663),"",OFFSET('Smelter Reference List'!$I$4,$S663-4,0))</f>
        <v/>
      </c>
      <c r="K663" s="295"/>
      <c r="L663" s="295"/>
      <c r="M663" s="295"/>
      <c r="N663" s="295"/>
      <c r="O663" s="295"/>
      <c r="P663" s="295"/>
      <c r="Q663" s="296"/>
      <c r="R663" s="227"/>
      <c r="S663" s="228" t="e">
        <f>IF(C663="",NA(),MATCH($B663&amp;$C663,'Smelter Reference List'!$J:$J,0))</f>
        <v>#N/A</v>
      </c>
      <c r="T663" s="229"/>
      <c r="U663" s="229">
        <f t="shared" ca="1" si="22"/>
        <v>0</v>
      </c>
      <c r="V663" s="229"/>
      <c r="W663" s="229"/>
      <c r="Y663" s="223" t="str">
        <f t="shared" si="23"/>
        <v/>
      </c>
    </row>
    <row r="664" spans="1:25" s="223" customFormat="1" ht="20.25">
      <c r="A664" s="291"/>
      <c r="B664" s="292" t="str">
        <f>IF(LEN(A664)=0,"",INDEX('Smelter Reference List'!$A:$A,MATCH($A664,'Smelter Reference List'!$E:$E,0)))</f>
        <v/>
      </c>
      <c r="C664" s="298" t="str">
        <f>IF(LEN(A664)=0,"",INDEX('Smelter Reference List'!$C:$C,MATCH($A664,'Smelter Reference List'!$E:$E,0)))</f>
        <v/>
      </c>
      <c r="D664" s="292" t="str">
        <f ca="1">IF(ISERROR($S664),"",OFFSET('Smelter Reference List'!$C$4,$S664-4,0)&amp;"")</f>
        <v/>
      </c>
      <c r="E664" s="292" t="str">
        <f ca="1">IF(ISERROR($S664),"",OFFSET('Smelter Reference List'!$D$4,$S664-4,0)&amp;"")</f>
        <v/>
      </c>
      <c r="F664" s="292" t="str">
        <f ca="1">IF(ISERROR($S664),"",OFFSET('Smelter Reference List'!$E$4,$S664-4,0))</f>
        <v/>
      </c>
      <c r="G664" s="292" t="str">
        <f ca="1">IF(C664=$U$4,"Enter smelter details", IF(ISERROR($S664),"",OFFSET('Smelter Reference List'!$F$4,$S664-4,0)))</f>
        <v/>
      </c>
      <c r="H664" s="293" t="str">
        <f ca="1">IF(ISERROR($S664),"",OFFSET('Smelter Reference List'!$G$4,$S664-4,0))</f>
        <v/>
      </c>
      <c r="I664" s="294" t="str">
        <f ca="1">IF(ISERROR($S664),"",OFFSET('Smelter Reference List'!$H$4,$S664-4,0))</f>
        <v/>
      </c>
      <c r="J664" s="294" t="str">
        <f ca="1">IF(ISERROR($S664),"",OFFSET('Smelter Reference List'!$I$4,$S664-4,0))</f>
        <v/>
      </c>
      <c r="K664" s="295"/>
      <c r="L664" s="295"/>
      <c r="M664" s="295"/>
      <c r="N664" s="295"/>
      <c r="O664" s="295"/>
      <c r="P664" s="295"/>
      <c r="Q664" s="296"/>
      <c r="R664" s="227"/>
      <c r="S664" s="228" t="e">
        <f>IF(C664="",NA(),MATCH($B664&amp;$C664,'Smelter Reference List'!$J:$J,0))</f>
        <v>#N/A</v>
      </c>
      <c r="T664" s="229"/>
      <c r="U664" s="229">
        <f t="shared" ca="1" si="22"/>
        <v>0</v>
      </c>
      <c r="V664" s="229"/>
      <c r="W664" s="229"/>
      <c r="Y664" s="223" t="str">
        <f t="shared" si="23"/>
        <v/>
      </c>
    </row>
    <row r="665" spans="1:25" s="223" customFormat="1" ht="20.25">
      <c r="A665" s="291"/>
      <c r="B665" s="292" t="str">
        <f>IF(LEN(A665)=0,"",INDEX('Smelter Reference List'!$A:$A,MATCH($A665,'Smelter Reference List'!$E:$E,0)))</f>
        <v/>
      </c>
      <c r="C665" s="298" t="str">
        <f>IF(LEN(A665)=0,"",INDEX('Smelter Reference List'!$C:$C,MATCH($A665,'Smelter Reference List'!$E:$E,0)))</f>
        <v/>
      </c>
      <c r="D665" s="292" t="str">
        <f ca="1">IF(ISERROR($S665),"",OFFSET('Smelter Reference List'!$C$4,$S665-4,0)&amp;"")</f>
        <v/>
      </c>
      <c r="E665" s="292" t="str">
        <f ca="1">IF(ISERROR($S665),"",OFFSET('Smelter Reference List'!$D$4,$S665-4,0)&amp;"")</f>
        <v/>
      </c>
      <c r="F665" s="292" t="str">
        <f ca="1">IF(ISERROR($S665),"",OFFSET('Smelter Reference List'!$E$4,$S665-4,0))</f>
        <v/>
      </c>
      <c r="G665" s="292" t="str">
        <f ca="1">IF(C665=$U$4,"Enter smelter details", IF(ISERROR($S665),"",OFFSET('Smelter Reference List'!$F$4,$S665-4,0)))</f>
        <v/>
      </c>
      <c r="H665" s="293" t="str">
        <f ca="1">IF(ISERROR($S665),"",OFFSET('Smelter Reference List'!$G$4,$S665-4,0))</f>
        <v/>
      </c>
      <c r="I665" s="294" t="str">
        <f ca="1">IF(ISERROR($S665),"",OFFSET('Smelter Reference List'!$H$4,$S665-4,0))</f>
        <v/>
      </c>
      <c r="J665" s="294" t="str">
        <f ca="1">IF(ISERROR($S665),"",OFFSET('Smelter Reference List'!$I$4,$S665-4,0))</f>
        <v/>
      </c>
      <c r="K665" s="295"/>
      <c r="L665" s="295"/>
      <c r="M665" s="295"/>
      <c r="N665" s="295"/>
      <c r="O665" s="295"/>
      <c r="P665" s="295"/>
      <c r="Q665" s="296"/>
      <c r="R665" s="227"/>
      <c r="S665" s="228" t="e">
        <f>IF(C665="",NA(),MATCH($B665&amp;$C665,'Smelter Reference List'!$J:$J,0))</f>
        <v>#N/A</v>
      </c>
      <c r="T665" s="229"/>
      <c r="U665" s="229">
        <f t="shared" ca="1" si="22"/>
        <v>0</v>
      </c>
      <c r="V665" s="229"/>
      <c r="W665" s="229"/>
      <c r="Y665" s="223" t="str">
        <f t="shared" si="23"/>
        <v/>
      </c>
    </row>
    <row r="666" spans="1:25" s="223" customFormat="1" ht="20.25">
      <c r="A666" s="291"/>
      <c r="B666" s="292" t="str">
        <f>IF(LEN(A666)=0,"",INDEX('Smelter Reference List'!$A:$A,MATCH($A666,'Smelter Reference List'!$E:$E,0)))</f>
        <v/>
      </c>
      <c r="C666" s="298" t="str">
        <f>IF(LEN(A666)=0,"",INDEX('Smelter Reference List'!$C:$C,MATCH($A666,'Smelter Reference List'!$E:$E,0)))</f>
        <v/>
      </c>
      <c r="D666" s="292" t="str">
        <f ca="1">IF(ISERROR($S666),"",OFFSET('Smelter Reference List'!$C$4,$S666-4,0)&amp;"")</f>
        <v/>
      </c>
      <c r="E666" s="292" t="str">
        <f ca="1">IF(ISERROR($S666),"",OFFSET('Smelter Reference List'!$D$4,$S666-4,0)&amp;"")</f>
        <v/>
      </c>
      <c r="F666" s="292" t="str">
        <f ca="1">IF(ISERROR($S666),"",OFFSET('Smelter Reference List'!$E$4,$S666-4,0))</f>
        <v/>
      </c>
      <c r="G666" s="292" t="str">
        <f ca="1">IF(C666=$U$4,"Enter smelter details", IF(ISERROR($S666),"",OFFSET('Smelter Reference List'!$F$4,$S666-4,0)))</f>
        <v/>
      </c>
      <c r="H666" s="293" t="str">
        <f ca="1">IF(ISERROR($S666),"",OFFSET('Smelter Reference List'!$G$4,$S666-4,0))</f>
        <v/>
      </c>
      <c r="I666" s="294" t="str">
        <f ca="1">IF(ISERROR($S666),"",OFFSET('Smelter Reference List'!$H$4,$S666-4,0))</f>
        <v/>
      </c>
      <c r="J666" s="294" t="str">
        <f ca="1">IF(ISERROR($S666),"",OFFSET('Smelter Reference List'!$I$4,$S666-4,0))</f>
        <v/>
      </c>
      <c r="K666" s="295"/>
      <c r="L666" s="295"/>
      <c r="M666" s="295"/>
      <c r="N666" s="295"/>
      <c r="O666" s="295"/>
      <c r="P666" s="295"/>
      <c r="Q666" s="296"/>
      <c r="R666" s="227"/>
      <c r="S666" s="228" t="e">
        <f>IF(C666="",NA(),MATCH($B666&amp;$C666,'Smelter Reference List'!$J:$J,0))</f>
        <v>#N/A</v>
      </c>
      <c r="T666" s="229"/>
      <c r="U666" s="229">
        <f t="shared" ca="1" si="22"/>
        <v>0</v>
      </c>
      <c r="V666" s="229"/>
      <c r="W666" s="229"/>
      <c r="Y666" s="223" t="str">
        <f t="shared" si="23"/>
        <v/>
      </c>
    </row>
    <row r="667" spans="1:25" s="223" customFormat="1" ht="20.25">
      <c r="A667" s="291"/>
      <c r="B667" s="292" t="str">
        <f>IF(LEN(A667)=0,"",INDEX('Smelter Reference List'!$A:$A,MATCH($A667,'Smelter Reference List'!$E:$E,0)))</f>
        <v/>
      </c>
      <c r="C667" s="298" t="str">
        <f>IF(LEN(A667)=0,"",INDEX('Smelter Reference List'!$C:$C,MATCH($A667,'Smelter Reference List'!$E:$E,0)))</f>
        <v/>
      </c>
      <c r="D667" s="292" t="str">
        <f ca="1">IF(ISERROR($S667),"",OFFSET('Smelter Reference List'!$C$4,$S667-4,0)&amp;"")</f>
        <v/>
      </c>
      <c r="E667" s="292" t="str">
        <f ca="1">IF(ISERROR($S667),"",OFFSET('Smelter Reference List'!$D$4,$S667-4,0)&amp;"")</f>
        <v/>
      </c>
      <c r="F667" s="292" t="str">
        <f ca="1">IF(ISERROR($S667),"",OFFSET('Smelter Reference List'!$E$4,$S667-4,0))</f>
        <v/>
      </c>
      <c r="G667" s="292" t="str">
        <f ca="1">IF(C667=$U$4,"Enter smelter details", IF(ISERROR($S667),"",OFFSET('Smelter Reference List'!$F$4,$S667-4,0)))</f>
        <v/>
      </c>
      <c r="H667" s="293" t="str">
        <f ca="1">IF(ISERROR($S667),"",OFFSET('Smelter Reference List'!$G$4,$S667-4,0))</f>
        <v/>
      </c>
      <c r="I667" s="294" t="str">
        <f ca="1">IF(ISERROR($S667),"",OFFSET('Smelter Reference List'!$H$4,$S667-4,0))</f>
        <v/>
      </c>
      <c r="J667" s="294" t="str">
        <f ca="1">IF(ISERROR($S667),"",OFFSET('Smelter Reference List'!$I$4,$S667-4,0))</f>
        <v/>
      </c>
      <c r="K667" s="295"/>
      <c r="L667" s="295"/>
      <c r="M667" s="295"/>
      <c r="N667" s="295"/>
      <c r="O667" s="295"/>
      <c r="P667" s="295"/>
      <c r="Q667" s="296"/>
      <c r="R667" s="227"/>
      <c r="S667" s="228" t="e">
        <f>IF(C667="",NA(),MATCH($B667&amp;$C667,'Smelter Reference List'!$J:$J,0))</f>
        <v>#N/A</v>
      </c>
      <c r="T667" s="229"/>
      <c r="U667" s="229">
        <f t="shared" ca="1" si="22"/>
        <v>0</v>
      </c>
      <c r="V667" s="229"/>
      <c r="W667" s="229"/>
      <c r="Y667" s="223" t="str">
        <f t="shared" si="23"/>
        <v/>
      </c>
    </row>
    <row r="668" spans="1:25" s="223" customFormat="1" ht="20.25">
      <c r="A668" s="291"/>
      <c r="B668" s="292" t="str">
        <f>IF(LEN(A668)=0,"",INDEX('Smelter Reference List'!$A:$A,MATCH($A668,'Smelter Reference List'!$E:$E,0)))</f>
        <v/>
      </c>
      <c r="C668" s="298" t="str">
        <f>IF(LEN(A668)=0,"",INDEX('Smelter Reference List'!$C:$C,MATCH($A668,'Smelter Reference List'!$E:$E,0)))</f>
        <v/>
      </c>
      <c r="D668" s="292" t="str">
        <f ca="1">IF(ISERROR($S668),"",OFFSET('Smelter Reference List'!$C$4,$S668-4,0)&amp;"")</f>
        <v/>
      </c>
      <c r="E668" s="292" t="str">
        <f ca="1">IF(ISERROR($S668),"",OFFSET('Smelter Reference List'!$D$4,$S668-4,0)&amp;"")</f>
        <v/>
      </c>
      <c r="F668" s="292" t="str">
        <f ca="1">IF(ISERROR($S668),"",OFFSET('Smelter Reference List'!$E$4,$S668-4,0))</f>
        <v/>
      </c>
      <c r="G668" s="292" t="str">
        <f ca="1">IF(C668=$U$4,"Enter smelter details", IF(ISERROR($S668),"",OFFSET('Smelter Reference List'!$F$4,$S668-4,0)))</f>
        <v/>
      </c>
      <c r="H668" s="293" t="str">
        <f ca="1">IF(ISERROR($S668),"",OFFSET('Smelter Reference List'!$G$4,$S668-4,0))</f>
        <v/>
      </c>
      <c r="I668" s="294" t="str">
        <f ca="1">IF(ISERROR($S668),"",OFFSET('Smelter Reference List'!$H$4,$S668-4,0))</f>
        <v/>
      </c>
      <c r="J668" s="294" t="str">
        <f ca="1">IF(ISERROR($S668),"",OFFSET('Smelter Reference List'!$I$4,$S668-4,0))</f>
        <v/>
      </c>
      <c r="K668" s="295"/>
      <c r="L668" s="295"/>
      <c r="M668" s="295"/>
      <c r="N668" s="295"/>
      <c r="O668" s="295"/>
      <c r="P668" s="295"/>
      <c r="Q668" s="296"/>
      <c r="R668" s="227"/>
      <c r="S668" s="228" t="e">
        <f>IF(C668="",NA(),MATCH($B668&amp;$C668,'Smelter Reference List'!$J:$J,0))</f>
        <v>#N/A</v>
      </c>
      <c r="T668" s="229"/>
      <c r="U668" s="229">
        <f t="shared" ca="1" si="22"/>
        <v>0</v>
      </c>
      <c r="V668" s="229"/>
      <c r="W668" s="229"/>
      <c r="Y668" s="223" t="str">
        <f t="shared" si="23"/>
        <v/>
      </c>
    </row>
    <row r="669" spans="1:25" s="223" customFormat="1" ht="20.25">
      <c r="A669" s="291"/>
      <c r="B669" s="292" t="str">
        <f>IF(LEN(A669)=0,"",INDEX('Smelter Reference List'!$A:$A,MATCH($A669,'Smelter Reference List'!$E:$E,0)))</f>
        <v/>
      </c>
      <c r="C669" s="298" t="str">
        <f>IF(LEN(A669)=0,"",INDEX('Smelter Reference List'!$C:$C,MATCH($A669,'Smelter Reference List'!$E:$E,0)))</f>
        <v/>
      </c>
      <c r="D669" s="292" t="str">
        <f ca="1">IF(ISERROR($S669),"",OFFSET('Smelter Reference List'!$C$4,$S669-4,0)&amp;"")</f>
        <v/>
      </c>
      <c r="E669" s="292" t="str">
        <f ca="1">IF(ISERROR($S669),"",OFFSET('Smelter Reference List'!$D$4,$S669-4,0)&amp;"")</f>
        <v/>
      </c>
      <c r="F669" s="292" t="str">
        <f ca="1">IF(ISERROR($S669),"",OFFSET('Smelter Reference List'!$E$4,$S669-4,0))</f>
        <v/>
      </c>
      <c r="G669" s="292" t="str">
        <f ca="1">IF(C669=$U$4,"Enter smelter details", IF(ISERROR($S669),"",OFFSET('Smelter Reference List'!$F$4,$S669-4,0)))</f>
        <v/>
      </c>
      <c r="H669" s="293" t="str">
        <f ca="1">IF(ISERROR($S669),"",OFFSET('Smelter Reference List'!$G$4,$S669-4,0))</f>
        <v/>
      </c>
      <c r="I669" s="294" t="str">
        <f ca="1">IF(ISERROR($S669),"",OFFSET('Smelter Reference List'!$H$4,$S669-4,0))</f>
        <v/>
      </c>
      <c r="J669" s="294" t="str">
        <f ca="1">IF(ISERROR($S669),"",OFFSET('Smelter Reference List'!$I$4,$S669-4,0))</f>
        <v/>
      </c>
      <c r="K669" s="295"/>
      <c r="L669" s="295"/>
      <c r="M669" s="295"/>
      <c r="N669" s="295"/>
      <c r="O669" s="295"/>
      <c r="P669" s="295"/>
      <c r="Q669" s="296"/>
      <c r="R669" s="227"/>
      <c r="S669" s="228" t="e">
        <f>IF(C669="",NA(),MATCH($B669&amp;$C669,'Smelter Reference List'!$J:$J,0))</f>
        <v>#N/A</v>
      </c>
      <c r="T669" s="229"/>
      <c r="U669" s="229">
        <f t="shared" ca="1" si="22"/>
        <v>0</v>
      </c>
      <c r="V669" s="229"/>
      <c r="W669" s="229"/>
      <c r="Y669" s="223" t="str">
        <f t="shared" si="23"/>
        <v/>
      </c>
    </row>
    <row r="670" spans="1:25" s="223" customFormat="1" ht="20.25">
      <c r="A670" s="291"/>
      <c r="B670" s="292" t="str">
        <f>IF(LEN(A670)=0,"",INDEX('Smelter Reference List'!$A:$A,MATCH($A670,'Smelter Reference List'!$E:$E,0)))</f>
        <v/>
      </c>
      <c r="C670" s="298" t="str">
        <f>IF(LEN(A670)=0,"",INDEX('Smelter Reference List'!$C:$C,MATCH($A670,'Smelter Reference List'!$E:$E,0)))</f>
        <v/>
      </c>
      <c r="D670" s="292" t="str">
        <f ca="1">IF(ISERROR($S670),"",OFFSET('Smelter Reference List'!$C$4,$S670-4,0)&amp;"")</f>
        <v/>
      </c>
      <c r="E670" s="292" t="str">
        <f ca="1">IF(ISERROR($S670),"",OFFSET('Smelter Reference List'!$D$4,$S670-4,0)&amp;"")</f>
        <v/>
      </c>
      <c r="F670" s="292" t="str">
        <f ca="1">IF(ISERROR($S670),"",OFFSET('Smelter Reference List'!$E$4,$S670-4,0))</f>
        <v/>
      </c>
      <c r="G670" s="292" t="str">
        <f ca="1">IF(C670=$U$4,"Enter smelter details", IF(ISERROR($S670),"",OFFSET('Smelter Reference List'!$F$4,$S670-4,0)))</f>
        <v/>
      </c>
      <c r="H670" s="293" t="str">
        <f ca="1">IF(ISERROR($S670),"",OFFSET('Smelter Reference List'!$G$4,$S670-4,0))</f>
        <v/>
      </c>
      <c r="I670" s="294" t="str">
        <f ca="1">IF(ISERROR($S670),"",OFFSET('Smelter Reference List'!$H$4,$S670-4,0))</f>
        <v/>
      </c>
      <c r="J670" s="294" t="str">
        <f ca="1">IF(ISERROR($S670),"",OFFSET('Smelter Reference List'!$I$4,$S670-4,0))</f>
        <v/>
      </c>
      <c r="K670" s="295"/>
      <c r="L670" s="295"/>
      <c r="M670" s="295"/>
      <c r="N670" s="295"/>
      <c r="O670" s="295"/>
      <c r="P670" s="295"/>
      <c r="Q670" s="296"/>
      <c r="R670" s="227"/>
      <c r="S670" s="228" t="e">
        <f>IF(C670="",NA(),MATCH($B670&amp;$C670,'Smelter Reference List'!$J:$J,0))</f>
        <v>#N/A</v>
      </c>
      <c r="T670" s="229"/>
      <c r="U670" s="229">
        <f t="shared" ca="1" si="22"/>
        <v>0</v>
      </c>
      <c r="V670" s="229"/>
      <c r="W670" s="229"/>
      <c r="Y670" s="223" t="str">
        <f t="shared" si="23"/>
        <v/>
      </c>
    </row>
    <row r="671" spans="1:25" s="223" customFormat="1" ht="20.25">
      <c r="A671" s="291"/>
      <c r="B671" s="292" t="str">
        <f>IF(LEN(A671)=0,"",INDEX('Smelter Reference List'!$A:$A,MATCH($A671,'Smelter Reference List'!$E:$E,0)))</f>
        <v/>
      </c>
      <c r="C671" s="298" t="str">
        <f>IF(LEN(A671)=0,"",INDEX('Smelter Reference List'!$C:$C,MATCH($A671,'Smelter Reference List'!$E:$E,0)))</f>
        <v/>
      </c>
      <c r="D671" s="292" t="str">
        <f ca="1">IF(ISERROR($S671),"",OFFSET('Smelter Reference List'!$C$4,$S671-4,0)&amp;"")</f>
        <v/>
      </c>
      <c r="E671" s="292" t="str">
        <f ca="1">IF(ISERROR($S671),"",OFFSET('Smelter Reference List'!$D$4,$S671-4,0)&amp;"")</f>
        <v/>
      </c>
      <c r="F671" s="292" t="str">
        <f ca="1">IF(ISERROR($S671),"",OFFSET('Smelter Reference List'!$E$4,$S671-4,0))</f>
        <v/>
      </c>
      <c r="G671" s="292" t="str">
        <f ca="1">IF(C671=$U$4,"Enter smelter details", IF(ISERROR($S671),"",OFFSET('Smelter Reference List'!$F$4,$S671-4,0)))</f>
        <v/>
      </c>
      <c r="H671" s="293" t="str">
        <f ca="1">IF(ISERROR($S671),"",OFFSET('Smelter Reference List'!$G$4,$S671-4,0))</f>
        <v/>
      </c>
      <c r="I671" s="294" t="str">
        <f ca="1">IF(ISERROR($S671),"",OFFSET('Smelter Reference List'!$H$4,$S671-4,0))</f>
        <v/>
      </c>
      <c r="J671" s="294" t="str">
        <f ca="1">IF(ISERROR($S671),"",OFFSET('Smelter Reference List'!$I$4,$S671-4,0))</f>
        <v/>
      </c>
      <c r="K671" s="295"/>
      <c r="L671" s="295"/>
      <c r="M671" s="295"/>
      <c r="N671" s="295"/>
      <c r="O671" s="295"/>
      <c r="P671" s="295"/>
      <c r="Q671" s="296"/>
      <c r="R671" s="227"/>
      <c r="S671" s="228" t="e">
        <f>IF(C671="",NA(),MATCH($B671&amp;$C671,'Smelter Reference List'!$J:$J,0))</f>
        <v>#N/A</v>
      </c>
      <c r="T671" s="229"/>
      <c r="U671" s="229">
        <f t="shared" ca="1" si="22"/>
        <v>0</v>
      </c>
      <c r="V671" s="229"/>
      <c r="W671" s="229"/>
      <c r="Y671" s="223" t="str">
        <f t="shared" si="23"/>
        <v/>
      </c>
    </row>
    <row r="672" spans="1:25" s="223" customFormat="1" ht="20.25">
      <c r="A672" s="291"/>
      <c r="B672" s="292" t="str">
        <f>IF(LEN(A672)=0,"",INDEX('Smelter Reference List'!$A:$A,MATCH($A672,'Smelter Reference List'!$E:$E,0)))</f>
        <v/>
      </c>
      <c r="C672" s="298" t="str">
        <f>IF(LEN(A672)=0,"",INDEX('Smelter Reference List'!$C:$C,MATCH($A672,'Smelter Reference List'!$E:$E,0)))</f>
        <v/>
      </c>
      <c r="D672" s="292" t="str">
        <f ca="1">IF(ISERROR($S672),"",OFFSET('Smelter Reference List'!$C$4,$S672-4,0)&amp;"")</f>
        <v/>
      </c>
      <c r="E672" s="292" t="str">
        <f ca="1">IF(ISERROR($S672),"",OFFSET('Smelter Reference List'!$D$4,$S672-4,0)&amp;"")</f>
        <v/>
      </c>
      <c r="F672" s="292" t="str">
        <f ca="1">IF(ISERROR($S672),"",OFFSET('Smelter Reference List'!$E$4,$S672-4,0))</f>
        <v/>
      </c>
      <c r="G672" s="292" t="str">
        <f ca="1">IF(C672=$U$4,"Enter smelter details", IF(ISERROR($S672),"",OFFSET('Smelter Reference List'!$F$4,$S672-4,0)))</f>
        <v/>
      </c>
      <c r="H672" s="293" t="str">
        <f ca="1">IF(ISERROR($S672),"",OFFSET('Smelter Reference List'!$G$4,$S672-4,0))</f>
        <v/>
      </c>
      <c r="I672" s="294" t="str">
        <f ca="1">IF(ISERROR($S672),"",OFFSET('Smelter Reference List'!$H$4,$S672-4,0))</f>
        <v/>
      </c>
      <c r="J672" s="294" t="str">
        <f ca="1">IF(ISERROR($S672),"",OFFSET('Smelter Reference List'!$I$4,$S672-4,0))</f>
        <v/>
      </c>
      <c r="K672" s="295"/>
      <c r="L672" s="295"/>
      <c r="M672" s="295"/>
      <c r="N672" s="295"/>
      <c r="O672" s="295"/>
      <c r="P672" s="295"/>
      <c r="Q672" s="296"/>
      <c r="R672" s="227"/>
      <c r="S672" s="228" t="e">
        <f>IF(C672="",NA(),MATCH($B672&amp;$C672,'Smelter Reference List'!$J:$J,0))</f>
        <v>#N/A</v>
      </c>
      <c r="T672" s="229"/>
      <c r="U672" s="229">
        <f t="shared" ca="1" si="22"/>
        <v>0</v>
      </c>
      <c r="V672" s="229"/>
      <c r="W672" s="229"/>
      <c r="Y672" s="223" t="str">
        <f t="shared" si="23"/>
        <v/>
      </c>
    </row>
    <row r="673" spans="1:25" s="223" customFormat="1" ht="20.25">
      <c r="A673" s="291"/>
      <c r="B673" s="292" t="str">
        <f>IF(LEN(A673)=0,"",INDEX('Smelter Reference List'!$A:$A,MATCH($A673,'Smelter Reference List'!$E:$E,0)))</f>
        <v/>
      </c>
      <c r="C673" s="298" t="str">
        <f>IF(LEN(A673)=0,"",INDEX('Smelter Reference List'!$C:$C,MATCH($A673,'Smelter Reference List'!$E:$E,0)))</f>
        <v/>
      </c>
      <c r="D673" s="292" t="str">
        <f ca="1">IF(ISERROR($S673),"",OFFSET('Smelter Reference List'!$C$4,$S673-4,0)&amp;"")</f>
        <v/>
      </c>
      <c r="E673" s="292" t="str">
        <f ca="1">IF(ISERROR($S673),"",OFFSET('Smelter Reference List'!$D$4,$S673-4,0)&amp;"")</f>
        <v/>
      </c>
      <c r="F673" s="292" t="str">
        <f ca="1">IF(ISERROR($S673),"",OFFSET('Smelter Reference List'!$E$4,$S673-4,0))</f>
        <v/>
      </c>
      <c r="G673" s="292" t="str">
        <f ca="1">IF(C673=$U$4,"Enter smelter details", IF(ISERROR($S673),"",OFFSET('Smelter Reference List'!$F$4,$S673-4,0)))</f>
        <v/>
      </c>
      <c r="H673" s="293" t="str">
        <f ca="1">IF(ISERROR($S673),"",OFFSET('Smelter Reference List'!$G$4,$S673-4,0))</f>
        <v/>
      </c>
      <c r="I673" s="294" t="str">
        <f ca="1">IF(ISERROR($S673),"",OFFSET('Smelter Reference List'!$H$4,$S673-4,0))</f>
        <v/>
      </c>
      <c r="J673" s="294" t="str">
        <f ca="1">IF(ISERROR($S673),"",OFFSET('Smelter Reference List'!$I$4,$S673-4,0))</f>
        <v/>
      </c>
      <c r="K673" s="295"/>
      <c r="L673" s="295"/>
      <c r="M673" s="295"/>
      <c r="N673" s="295"/>
      <c r="O673" s="295"/>
      <c r="P673" s="295"/>
      <c r="Q673" s="296"/>
      <c r="R673" s="227"/>
      <c r="S673" s="228" t="e">
        <f>IF(C673="",NA(),MATCH($B673&amp;$C673,'Smelter Reference List'!$J:$J,0))</f>
        <v>#N/A</v>
      </c>
      <c r="T673" s="229"/>
      <c r="U673" s="229">
        <f t="shared" ca="1" si="22"/>
        <v>0</v>
      </c>
      <c r="V673" s="229"/>
      <c r="W673" s="229"/>
      <c r="Y673" s="223" t="str">
        <f t="shared" si="23"/>
        <v/>
      </c>
    </row>
    <row r="674" spans="1:25" s="223" customFormat="1" ht="20.25">
      <c r="A674" s="291"/>
      <c r="B674" s="292" t="str">
        <f>IF(LEN(A674)=0,"",INDEX('Smelter Reference List'!$A:$A,MATCH($A674,'Smelter Reference List'!$E:$E,0)))</f>
        <v/>
      </c>
      <c r="C674" s="298" t="str">
        <f>IF(LEN(A674)=0,"",INDEX('Smelter Reference List'!$C:$C,MATCH($A674,'Smelter Reference List'!$E:$E,0)))</f>
        <v/>
      </c>
      <c r="D674" s="292" t="str">
        <f ca="1">IF(ISERROR($S674),"",OFFSET('Smelter Reference List'!$C$4,$S674-4,0)&amp;"")</f>
        <v/>
      </c>
      <c r="E674" s="292" t="str">
        <f ca="1">IF(ISERROR($S674),"",OFFSET('Smelter Reference List'!$D$4,$S674-4,0)&amp;"")</f>
        <v/>
      </c>
      <c r="F674" s="292" t="str">
        <f ca="1">IF(ISERROR($S674),"",OFFSET('Smelter Reference List'!$E$4,$S674-4,0))</f>
        <v/>
      </c>
      <c r="G674" s="292" t="str">
        <f ca="1">IF(C674=$U$4,"Enter smelter details", IF(ISERROR($S674),"",OFFSET('Smelter Reference List'!$F$4,$S674-4,0)))</f>
        <v/>
      </c>
      <c r="H674" s="293" t="str">
        <f ca="1">IF(ISERROR($S674),"",OFFSET('Smelter Reference List'!$G$4,$S674-4,0))</f>
        <v/>
      </c>
      <c r="I674" s="294" t="str">
        <f ca="1">IF(ISERROR($S674),"",OFFSET('Smelter Reference List'!$H$4,$S674-4,0))</f>
        <v/>
      </c>
      <c r="J674" s="294" t="str">
        <f ca="1">IF(ISERROR($S674),"",OFFSET('Smelter Reference List'!$I$4,$S674-4,0))</f>
        <v/>
      </c>
      <c r="K674" s="295"/>
      <c r="L674" s="295"/>
      <c r="M674" s="295"/>
      <c r="N674" s="295"/>
      <c r="O674" s="295"/>
      <c r="P674" s="295"/>
      <c r="Q674" s="296"/>
      <c r="R674" s="227"/>
      <c r="S674" s="228" t="e">
        <f>IF(C674="",NA(),MATCH($B674&amp;$C674,'Smelter Reference List'!$J:$J,0))</f>
        <v>#N/A</v>
      </c>
      <c r="T674" s="229"/>
      <c r="U674" s="229">
        <f t="shared" ca="1" si="22"/>
        <v>0</v>
      </c>
      <c r="V674" s="229"/>
      <c r="W674" s="229"/>
      <c r="Y674" s="223" t="str">
        <f t="shared" si="23"/>
        <v/>
      </c>
    </row>
    <row r="675" spans="1:25" s="223" customFormat="1" ht="20.25">
      <c r="A675" s="291"/>
      <c r="B675" s="292" t="str">
        <f>IF(LEN(A675)=0,"",INDEX('Smelter Reference List'!$A:$A,MATCH($A675,'Smelter Reference List'!$E:$E,0)))</f>
        <v/>
      </c>
      <c r="C675" s="298" t="str">
        <f>IF(LEN(A675)=0,"",INDEX('Smelter Reference List'!$C:$C,MATCH($A675,'Smelter Reference List'!$E:$E,0)))</f>
        <v/>
      </c>
      <c r="D675" s="292" t="str">
        <f ca="1">IF(ISERROR($S675),"",OFFSET('Smelter Reference List'!$C$4,$S675-4,0)&amp;"")</f>
        <v/>
      </c>
      <c r="E675" s="292" t="str">
        <f ca="1">IF(ISERROR($S675),"",OFFSET('Smelter Reference List'!$D$4,$S675-4,0)&amp;"")</f>
        <v/>
      </c>
      <c r="F675" s="292" t="str">
        <f ca="1">IF(ISERROR($S675),"",OFFSET('Smelter Reference List'!$E$4,$S675-4,0))</f>
        <v/>
      </c>
      <c r="G675" s="292" t="str">
        <f ca="1">IF(C675=$U$4,"Enter smelter details", IF(ISERROR($S675),"",OFFSET('Smelter Reference List'!$F$4,$S675-4,0)))</f>
        <v/>
      </c>
      <c r="H675" s="293" t="str">
        <f ca="1">IF(ISERROR($S675),"",OFFSET('Smelter Reference List'!$G$4,$S675-4,0))</f>
        <v/>
      </c>
      <c r="I675" s="294" t="str">
        <f ca="1">IF(ISERROR($S675),"",OFFSET('Smelter Reference List'!$H$4,$S675-4,0))</f>
        <v/>
      </c>
      <c r="J675" s="294" t="str">
        <f ca="1">IF(ISERROR($S675),"",OFFSET('Smelter Reference List'!$I$4,$S675-4,0))</f>
        <v/>
      </c>
      <c r="K675" s="295"/>
      <c r="L675" s="295"/>
      <c r="M675" s="295"/>
      <c r="N675" s="295"/>
      <c r="O675" s="295"/>
      <c r="P675" s="295"/>
      <c r="Q675" s="296"/>
      <c r="R675" s="227"/>
      <c r="S675" s="228" t="e">
        <f>IF(C675="",NA(),MATCH($B675&amp;$C675,'Smelter Reference List'!$J:$J,0))</f>
        <v>#N/A</v>
      </c>
      <c r="T675" s="229"/>
      <c r="U675" s="229">
        <f t="shared" ca="1" si="22"/>
        <v>0</v>
      </c>
      <c r="V675" s="229"/>
      <c r="W675" s="229"/>
      <c r="Y675" s="223" t="str">
        <f t="shared" si="23"/>
        <v/>
      </c>
    </row>
    <row r="676" spans="1:25" s="223" customFormat="1" ht="20.25">
      <c r="A676" s="291"/>
      <c r="B676" s="292" t="str">
        <f>IF(LEN(A676)=0,"",INDEX('Smelter Reference List'!$A:$A,MATCH($A676,'Smelter Reference List'!$E:$E,0)))</f>
        <v/>
      </c>
      <c r="C676" s="298" t="str">
        <f>IF(LEN(A676)=0,"",INDEX('Smelter Reference List'!$C:$C,MATCH($A676,'Smelter Reference List'!$E:$E,0)))</f>
        <v/>
      </c>
      <c r="D676" s="292" t="str">
        <f ca="1">IF(ISERROR($S676),"",OFFSET('Smelter Reference List'!$C$4,$S676-4,0)&amp;"")</f>
        <v/>
      </c>
      <c r="E676" s="292" t="str">
        <f ca="1">IF(ISERROR($S676),"",OFFSET('Smelter Reference List'!$D$4,$S676-4,0)&amp;"")</f>
        <v/>
      </c>
      <c r="F676" s="292" t="str">
        <f ca="1">IF(ISERROR($S676),"",OFFSET('Smelter Reference List'!$E$4,$S676-4,0))</f>
        <v/>
      </c>
      <c r="G676" s="292" t="str">
        <f ca="1">IF(C676=$U$4,"Enter smelter details", IF(ISERROR($S676),"",OFFSET('Smelter Reference List'!$F$4,$S676-4,0)))</f>
        <v/>
      </c>
      <c r="H676" s="293" t="str">
        <f ca="1">IF(ISERROR($S676),"",OFFSET('Smelter Reference List'!$G$4,$S676-4,0))</f>
        <v/>
      </c>
      <c r="I676" s="294" t="str">
        <f ca="1">IF(ISERROR($S676),"",OFFSET('Smelter Reference List'!$H$4,$S676-4,0))</f>
        <v/>
      </c>
      <c r="J676" s="294" t="str">
        <f ca="1">IF(ISERROR($S676),"",OFFSET('Smelter Reference List'!$I$4,$S676-4,0))</f>
        <v/>
      </c>
      <c r="K676" s="295"/>
      <c r="L676" s="295"/>
      <c r="M676" s="295"/>
      <c r="N676" s="295"/>
      <c r="O676" s="295"/>
      <c r="P676" s="295"/>
      <c r="Q676" s="296"/>
      <c r="R676" s="227"/>
      <c r="S676" s="228" t="e">
        <f>IF(C676="",NA(),MATCH($B676&amp;$C676,'Smelter Reference List'!$J:$J,0))</f>
        <v>#N/A</v>
      </c>
      <c r="T676" s="229"/>
      <c r="U676" s="229">
        <f t="shared" ca="1" si="22"/>
        <v>0</v>
      </c>
      <c r="V676" s="229"/>
      <c r="W676" s="229"/>
      <c r="Y676" s="223" t="str">
        <f t="shared" si="23"/>
        <v/>
      </c>
    </row>
    <row r="677" spans="1:25" s="223" customFormat="1" ht="20.25">
      <c r="A677" s="291"/>
      <c r="B677" s="292" t="str">
        <f>IF(LEN(A677)=0,"",INDEX('Smelter Reference List'!$A:$A,MATCH($A677,'Smelter Reference List'!$E:$E,0)))</f>
        <v/>
      </c>
      <c r="C677" s="298" t="str">
        <f>IF(LEN(A677)=0,"",INDEX('Smelter Reference List'!$C:$C,MATCH($A677,'Smelter Reference List'!$E:$E,0)))</f>
        <v/>
      </c>
      <c r="D677" s="292" t="str">
        <f ca="1">IF(ISERROR($S677),"",OFFSET('Smelter Reference List'!$C$4,$S677-4,0)&amp;"")</f>
        <v/>
      </c>
      <c r="E677" s="292" t="str">
        <f ca="1">IF(ISERROR($S677),"",OFFSET('Smelter Reference List'!$D$4,$S677-4,0)&amp;"")</f>
        <v/>
      </c>
      <c r="F677" s="292" t="str">
        <f ca="1">IF(ISERROR($S677),"",OFFSET('Smelter Reference List'!$E$4,$S677-4,0))</f>
        <v/>
      </c>
      <c r="G677" s="292" t="str">
        <f ca="1">IF(C677=$U$4,"Enter smelter details", IF(ISERROR($S677),"",OFFSET('Smelter Reference List'!$F$4,$S677-4,0)))</f>
        <v/>
      </c>
      <c r="H677" s="293" t="str">
        <f ca="1">IF(ISERROR($S677),"",OFFSET('Smelter Reference List'!$G$4,$S677-4,0))</f>
        <v/>
      </c>
      <c r="I677" s="294" t="str">
        <f ca="1">IF(ISERROR($S677),"",OFFSET('Smelter Reference List'!$H$4,$S677-4,0))</f>
        <v/>
      </c>
      <c r="J677" s="294" t="str">
        <f ca="1">IF(ISERROR($S677),"",OFFSET('Smelter Reference List'!$I$4,$S677-4,0))</f>
        <v/>
      </c>
      <c r="K677" s="295"/>
      <c r="L677" s="295"/>
      <c r="M677" s="295"/>
      <c r="N677" s="295"/>
      <c r="O677" s="295"/>
      <c r="P677" s="295"/>
      <c r="Q677" s="296"/>
      <c r="R677" s="227"/>
      <c r="S677" s="228" t="e">
        <f>IF(C677="",NA(),MATCH($B677&amp;$C677,'Smelter Reference List'!$J:$J,0))</f>
        <v>#N/A</v>
      </c>
      <c r="T677" s="229"/>
      <c r="U677" s="229">
        <f t="shared" ca="1" si="22"/>
        <v>0</v>
      </c>
      <c r="V677" s="229"/>
      <c r="W677" s="229"/>
      <c r="Y677" s="223" t="str">
        <f t="shared" si="23"/>
        <v/>
      </c>
    </row>
    <row r="678" spans="1:25" s="223" customFormat="1" ht="20.25">
      <c r="A678" s="291"/>
      <c r="B678" s="292" t="str">
        <f>IF(LEN(A678)=0,"",INDEX('Smelter Reference List'!$A:$A,MATCH($A678,'Smelter Reference List'!$E:$E,0)))</f>
        <v/>
      </c>
      <c r="C678" s="298" t="str">
        <f>IF(LEN(A678)=0,"",INDEX('Smelter Reference List'!$C:$C,MATCH($A678,'Smelter Reference List'!$E:$E,0)))</f>
        <v/>
      </c>
      <c r="D678" s="292" t="str">
        <f ca="1">IF(ISERROR($S678),"",OFFSET('Smelter Reference List'!$C$4,$S678-4,0)&amp;"")</f>
        <v/>
      </c>
      <c r="E678" s="292" t="str">
        <f ca="1">IF(ISERROR($S678),"",OFFSET('Smelter Reference List'!$D$4,$S678-4,0)&amp;"")</f>
        <v/>
      </c>
      <c r="F678" s="292" t="str">
        <f ca="1">IF(ISERROR($S678),"",OFFSET('Smelter Reference List'!$E$4,$S678-4,0))</f>
        <v/>
      </c>
      <c r="G678" s="292" t="str">
        <f ca="1">IF(C678=$U$4,"Enter smelter details", IF(ISERROR($S678),"",OFFSET('Smelter Reference List'!$F$4,$S678-4,0)))</f>
        <v/>
      </c>
      <c r="H678" s="293" t="str">
        <f ca="1">IF(ISERROR($S678),"",OFFSET('Smelter Reference List'!$G$4,$S678-4,0))</f>
        <v/>
      </c>
      <c r="I678" s="294" t="str">
        <f ca="1">IF(ISERROR($S678),"",OFFSET('Smelter Reference List'!$H$4,$S678-4,0))</f>
        <v/>
      </c>
      <c r="J678" s="294" t="str">
        <f ca="1">IF(ISERROR($S678),"",OFFSET('Smelter Reference List'!$I$4,$S678-4,0))</f>
        <v/>
      </c>
      <c r="K678" s="295"/>
      <c r="L678" s="295"/>
      <c r="M678" s="295"/>
      <c r="N678" s="295"/>
      <c r="O678" s="295"/>
      <c r="P678" s="295"/>
      <c r="Q678" s="296"/>
      <c r="R678" s="227"/>
      <c r="S678" s="228" t="e">
        <f>IF(C678="",NA(),MATCH($B678&amp;$C678,'Smelter Reference List'!$J:$J,0))</f>
        <v>#N/A</v>
      </c>
      <c r="T678" s="229"/>
      <c r="U678" s="229">
        <f t="shared" ca="1" si="22"/>
        <v>0</v>
      </c>
      <c r="V678" s="229"/>
      <c r="W678" s="229"/>
      <c r="Y678" s="223" t="str">
        <f t="shared" si="23"/>
        <v/>
      </c>
    </row>
    <row r="679" spans="1:25" s="223" customFormat="1" ht="20.25">
      <c r="A679" s="291"/>
      <c r="B679" s="292" t="str">
        <f>IF(LEN(A679)=0,"",INDEX('Smelter Reference List'!$A:$A,MATCH($A679,'Smelter Reference List'!$E:$E,0)))</f>
        <v/>
      </c>
      <c r="C679" s="298" t="str">
        <f>IF(LEN(A679)=0,"",INDEX('Smelter Reference List'!$C:$C,MATCH($A679,'Smelter Reference List'!$E:$E,0)))</f>
        <v/>
      </c>
      <c r="D679" s="292" t="str">
        <f ca="1">IF(ISERROR($S679),"",OFFSET('Smelter Reference List'!$C$4,$S679-4,0)&amp;"")</f>
        <v/>
      </c>
      <c r="E679" s="292" t="str">
        <f ca="1">IF(ISERROR($S679),"",OFFSET('Smelter Reference List'!$D$4,$S679-4,0)&amp;"")</f>
        <v/>
      </c>
      <c r="F679" s="292" t="str">
        <f ca="1">IF(ISERROR($S679),"",OFFSET('Smelter Reference List'!$E$4,$S679-4,0))</f>
        <v/>
      </c>
      <c r="G679" s="292" t="str">
        <f ca="1">IF(C679=$U$4,"Enter smelter details", IF(ISERROR($S679),"",OFFSET('Smelter Reference List'!$F$4,$S679-4,0)))</f>
        <v/>
      </c>
      <c r="H679" s="293" t="str">
        <f ca="1">IF(ISERROR($S679),"",OFFSET('Smelter Reference List'!$G$4,$S679-4,0))</f>
        <v/>
      </c>
      <c r="I679" s="294" t="str">
        <f ca="1">IF(ISERROR($S679),"",OFFSET('Smelter Reference List'!$H$4,$S679-4,0))</f>
        <v/>
      </c>
      <c r="J679" s="294" t="str">
        <f ca="1">IF(ISERROR($S679),"",OFFSET('Smelter Reference List'!$I$4,$S679-4,0))</f>
        <v/>
      </c>
      <c r="K679" s="295"/>
      <c r="L679" s="295"/>
      <c r="M679" s="295"/>
      <c r="N679" s="295"/>
      <c r="O679" s="295"/>
      <c r="P679" s="295"/>
      <c r="Q679" s="296"/>
      <c r="R679" s="227"/>
      <c r="S679" s="228" t="e">
        <f>IF(C679="",NA(),MATCH($B679&amp;$C679,'Smelter Reference List'!$J:$J,0))</f>
        <v>#N/A</v>
      </c>
      <c r="T679" s="229"/>
      <c r="U679" s="229">
        <f t="shared" ca="1" si="22"/>
        <v>0</v>
      </c>
      <c r="V679" s="229"/>
      <c r="W679" s="229"/>
      <c r="Y679" s="223" t="str">
        <f t="shared" si="23"/>
        <v/>
      </c>
    </row>
    <row r="680" spans="1:25" s="223" customFormat="1" ht="20.25">
      <c r="A680" s="291"/>
      <c r="B680" s="292" t="str">
        <f>IF(LEN(A680)=0,"",INDEX('Smelter Reference List'!$A:$A,MATCH($A680,'Smelter Reference List'!$E:$E,0)))</f>
        <v/>
      </c>
      <c r="C680" s="298" t="str">
        <f>IF(LEN(A680)=0,"",INDEX('Smelter Reference List'!$C:$C,MATCH($A680,'Smelter Reference List'!$E:$E,0)))</f>
        <v/>
      </c>
      <c r="D680" s="292" t="str">
        <f ca="1">IF(ISERROR($S680),"",OFFSET('Smelter Reference List'!$C$4,$S680-4,0)&amp;"")</f>
        <v/>
      </c>
      <c r="E680" s="292" t="str">
        <f ca="1">IF(ISERROR($S680),"",OFFSET('Smelter Reference List'!$D$4,$S680-4,0)&amp;"")</f>
        <v/>
      </c>
      <c r="F680" s="292" t="str">
        <f ca="1">IF(ISERROR($S680),"",OFFSET('Smelter Reference List'!$E$4,$S680-4,0))</f>
        <v/>
      </c>
      <c r="G680" s="292" t="str">
        <f ca="1">IF(C680=$U$4,"Enter smelter details", IF(ISERROR($S680),"",OFFSET('Smelter Reference List'!$F$4,$S680-4,0)))</f>
        <v/>
      </c>
      <c r="H680" s="293" t="str">
        <f ca="1">IF(ISERROR($S680),"",OFFSET('Smelter Reference List'!$G$4,$S680-4,0))</f>
        <v/>
      </c>
      <c r="I680" s="294" t="str">
        <f ca="1">IF(ISERROR($S680),"",OFFSET('Smelter Reference List'!$H$4,$S680-4,0))</f>
        <v/>
      </c>
      <c r="J680" s="294" t="str">
        <f ca="1">IF(ISERROR($S680),"",OFFSET('Smelter Reference List'!$I$4,$S680-4,0))</f>
        <v/>
      </c>
      <c r="K680" s="295"/>
      <c r="L680" s="295"/>
      <c r="M680" s="295"/>
      <c r="N680" s="295"/>
      <c r="O680" s="295"/>
      <c r="P680" s="295"/>
      <c r="Q680" s="296"/>
      <c r="R680" s="227"/>
      <c r="S680" s="228" t="e">
        <f>IF(C680="",NA(),MATCH($B680&amp;$C680,'Smelter Reference List'!$J:$J,0))</f>
        <v>#N/A</v>
      </c>
      <c r="T680" s="229"/>
      <c r="U680" s="229">
        <f t="shared" ca="1" si="22"/>
        <v>0</v>
      </c>
      <c r="V680" s="229"/>
      <c r="W680" s="229"/>
      <c r="Y680" s="223" t="str">
        <f t="shared" si="23"/>
        <v/>
      </c>
    </row>
    <row r="681" spans="1:25" s="223" customFormat="1" ht="20.25">
      <c r="A681" s="291"/>
      <c r="B681" s="292" t="str">
        <f>IF(LEN(A681)=0,"",INDEX('Smelter Reference List'!$A:$A,MATCH($A681,'Smelter Reference List'!$E:$E,0)))</f>
        <v/>
      </c>
      <c r="C681" s="298" t="str">
        <f>IF(LEN(A681)=0,"",INDEX('Smelter Reference List'!$C:$C,MATCH($A681,'Smelter Reference List'!$E:$E,0)))</f>
        <v/>
      </c>
      <c r="D681" s="292" t="str">
        <f ca="1">IF(ISERROR($S681),"",OFFSET('Smelter Reference List'!$C$4,$S681-4,0)&amp;"")</f>
        <v/>
      </c>
      <c r="E681" s="292" t="str">
        <f ca="1">IF(ISERROR($S681),"",OFFSET('Smelter Reference List'!$D$4,$S681-4,0)&amp;"")</f>
        <v/>
      </c>
      <c r="F681" s="292" t="str">
        <f ca="1">IF(ISERROR($S681),"",OFFSET('Smelter Reference List'!$E$4,$S681-4,0))</f>
        <v/>
      </c>
      <c r="G681" s="292" t="str">
        <f ca="1">IF(C681=$U$4,"Enter smelter details", IF(ISERROR($S681),"",OFFSET('Smelter Reference List'!$F$4,$S681-4,0)))</f>
        <v/>
      </c>
      <c r="H681" s="293" t="str">
        <f ca="1">IF(ISERROR($S681),"",OFFSET('Smelter Reference List'!$G$4,$S681-4,0))</f>
        <v/>
      </c>
      <c r="I681" s="294" t="str">
        <f ca="1">IF(ISERROR($S681),"",OFFSET('Smelter Reference List'!$H$4,$S681-4,0))</f>
        <v/>
      </c>
      <c r="J681" s="294" t="str">
        <f ca="1">IF(ISERROR($S681),"",OFFSET('Smelter Reference List'!$I$4,$S681-4,0))</f>
        <v/>
      </c>
      <c r="K681" s="295"/>
      <c r="L681" s="295"/>
      <c r="M681" s="295"/>
      <c r="N681" s="295"/>
      <c r="O681" s="295"/>
      <c r="P681" s="295"/>
      <c r="Q681" s="296"/>
      <c r="R681" s="227"/>
      <c r="S681" s="228" t="e">
        <f>IF(C681="",NA(),MATCH($B681&amp;$C681,'Smelter Reference List'!$J:$J,0))</f>
        <v>#N/A</v>
      </c>
      <c r="T681" s="229"/>
      <c r="U681" s="229">
        <f t="shared" ca="1" si="22"/>
        <v>0</v>
      </c>
      <c r="V681" s="229"/>
      <c r="W681" s="229"/>
      <c r="Y681" s="223" t="str">
        <f t="shared" si="23"/>
        <v/>
      </c>
    </row>
    <row r="682" spans="1:25" s="223" customFormat="1" ht="20.25">
      <c r="A682" s="291"/>
      <c r="B682" s="292" t="str">
        <f>IF(LEN(A682)=0,"",INDEX('Smelter Reference List'!$A:$A,MATCH($A682,'Smelter Reference List'!$E:$E,0)))</f>
        <v/>
      </c>
      <c r="C682" s="298" t="str">
        <f>IF(LEN(A682)=0,"",INDEX('Smelter Reference List'!$C:$C,MATCH($A682,'Smelter Reference List'!$E:$E,0)))</f>
        <v/>
      </c>
      <c r="D682" s="292" t="str">
        <f ca="1">IF(ISERROR($S682),"",OFFSET('Smelter Reference List'!$C$4,$S682-4,0)&amp;"")</f>
        <v/>
      </c>
      <c r="E682" s="292" t="str">
        <f ca="1">IF(ISERROR($S682),"",OFFSET('Smelter Reference List'!$D$4,$S682-4,0)&amp;"")</f>
        <v/>
      </c>
      <c r="F682" s="292" t="str">
        <f ca="1">IF(ISERROR($S682),"",OFFSET('Smelter Reference List'!$E$4,$S682-4,0))</f>
        <v/>
      </c>
      <c r="G682" s="292" t="str">
        <f ca="1">IF(C682=$U$4,"Enter smelter details", IF(ISERROR($S682),"",OFFSET('Smelter Reference List'!$F$4,$S682-4,0)))</f>
        <v/>
      </c>
      <c r="H682" s="293" t="str">
        <f ca="1">IF(ISERROR($S682),"",OFFSET('Smelter Reference List'!$G$4,$S682-4,0))</f>
        <v/>
      </c>
      <c r="I682" s="294" t="str">
        <f ca="1">IF(ISERROR($S682),"",OFFSET('Smelter Reference List'!$H$4,$S682-4,0))</f>
        <v/>
      </c>
      <c r="J682" s="294" t="str">
        <f ca="1">IF(ISERROR($S682),"",OFFSET('Smelter Reference List'!$I$4,$S682-4,0))</f>
        <v/>
      </c>
      <c r="K682" s="295"/>
      <c r="L682" s="295"/>
      <c r="M682" s="295"/>
      <c r="N682" s="295"/>
      <c r="O682" s="295"/>
      <c r="P682" s="295"/>
      <c r="Q682" s="296"/>
      <c r="R682" s="227"/>
      <c r="S682" s="228" t="e">
        <f>IF(C682="",NA(),MATCH($B682&amp;$C682,'Smelter Reference List'!$J:$J,0))</f>
        <v>#N/A</v>
      </c>
      <c r="T682" s="229"/>
      <c r="U682" s="229">
        <f t="shared" ca="1" si="22"/>
        <v>0</v>
      </c>
      <c r="V682" s="229"/>
      <c r="W682" s="229"/>
      <c r="Y682" s="223" t="str">
        <f t="shared" si="23"/>
        <v/>
      </c>
    </row>
    <row r="683" spans="1:25" s="223" customFormat="1" ht="20.25">
      <c r="A683" s="291"/>
      <c r="B683" s="292" t="str">
        <f>IF(LEN(A683)=0,"",INDEX('Smelter Reference List'!$A:$A,MATCH($A683,'Smelter Reference List'!$E:$E,0)))</f>
        <v/>
      </c>
      <c r="C683" s="298" t="str">
        <f>IF(LEN(A683)=0,"",INDEX('Smelter Reference List'!$C:$C,MATCH($A683,'Smelter Reference List'!$E:$E,0)))</f>
        <v/>
      </c>
      <c r="D683" s="292" t="str">
        <f ca="1">IF(ISERROR($S683),"",OFFSET('Smelter Reference List'!$C$4,$S683-4,0)&amp;"")</f>
        <v/>
      </c>
      <c r="E683" s="292" t="str">
        <f ca="1">IF(ISERROR($S683),"",OFFSET('Smelter Reference List'!$D$4,$S683-4,0)&amp;"")</f>
        <v/>
      </c>
      <c r="F683" s="292" t="str">
        <f ca="1">IF(ISERROR($S683),"",OFFSET('Smelter Reference List'!$E$4,$S683-4,0))</f>
        <v/>
      </c>
      <c r="G683" s="292" t="str">
        <f ca="1">IF(C683=$U$4,"Enter smelter details", IF(ISERROR($S683),"",OFFSET('Smelter Reference List'!$F$4,$S683-4,0)))</f>
        <v/>
      </c>
      <c r="H683" s="293" t="str">
        <f ca="1">IF(ISERROR($S683),"",OFFSET('Smelter Reference List'!$G$4,$S683-4,0))</f>
        <v/>
      </c>
      <c r="I683" s="294" t="str">
        <f ca="1">IF(ISERROR($S683),"",OFFSET('Smelter Reference List'!$H$4,$S683-4,0))</f>
        <v/>
      </c>
      <c r="J683" s="294" t="str">
        <f ca="1">IF(ISERROR($S683),"",OFFSET('Smelter Reference List'!$I$4,$S683-4,0))</f>
        <v/>
      </c>
      <c r="K683" s="295"/>
      <c r="L683" s="295"/>
      <c r="M683" s="295"/>
      <c r="N683" s="295"/>
      <c r="O683" s="295"/>
      <c r="P683" s="295"/>
      <c r="Q683" s="296"/>
      <c r="R683" s="227"/>
      <c r="S683" s="228" t="e">
        <f>IF(C683="",NA(),MATCH($B683&amp;$C683,'Smelter Reference List'!$J:$J,0))</f>
        <v>#N/A</v>
      </c>
      <c r="T683" s="229"/>
      <c r="U683" s="229">
        <f t="shared" ca="1" si="22"/>
        <v>0</v>
      </c>
      <c r="V683" s="229"/>
      <c r="W683" s="229"/>
      <c r="Y683" s="223" t="str">
        <f t="shared" si="23"/>
        <v/>
      </c>
    </row>
    <row r="684" spans="1:25" s="223" customFormat="1" ht="20.25">
      <c r="A684" s="291"/>
      <c r="B684" s="292" t="str">
        <f>IF(LEN(A684)=0,"",INDEX('Smelter Reference List'!$A:$A,MATCH($A684,'Smelter Reference List'!$E:$E,0)))</f>
        <v/>
      </c>
      <c r="C684" s="298" t="str">
        <f>IF(LEN(A684)=0,"",INDEX('Smelter Reference List'!$C:$C,MATCH($A684,'Smelter Reference List'!$E:$E,0)))</f>
        <v/>
      </c>
      <c r="D684" s="292" t="str">
        <f ca="1">IF(ISERROR($S684),"",OFFSET('Smelter Reference List'!$C$4,$S684-4,0)&amp;"")</f>
        <v/>
      </c>
      <c r="E684" s="292" t="str">
        <f ca="1">IF(ISERROR($S684),"",OFFSET('Smelter Reference List'!$D$4,$S684-4,0)&amp;"")</f>
        <v/>
      </c>
      <c r="F684" s="292" t="str">
        <f ca="1">IF(ISERROR($S684),"",OFFSET('Smelter Reference List'!$E$4,$S684-4,0))</f>
        <v/>
      </c>
      <c r="G684" s="292" t="str">
        <f ca="1">IF(C684=$U$4,"Enter smelter details", IF(ISERROR($S684),"",OFFSET('Smelter Reference List'!$F$4,$S684-4,0)))</f>
        <v/>
      </c>
      <c r="H684" s="293" t="str">
        <f ca="1">IF(ISERROR($S684),"",OFFSET('Smelter Reference List'!$G$4,$S684-4,0))</f>
        <v/>
      </c>
      <c r="I684" s="294" t="str">
        <f ca="1">IF(ISERROR($S684),"",OFFSET('Smelter Reference List'!$H$4,$S684-4,0))</f>
        <v/>
      </c>
      <c r="J684" s="294" t="str">
        <f ca="1">IF(ISERROR($S684),"",OFFSET('Smelter Reference List'!$I$4,$S684-4,0))</f>
        <v/>
      </c>
      <c r="K684" s="295"/>
      <c r="L684" s="295"/>
      <c r="M684" s="295"/>
      <c r="N684" s="295"/>
      <c r="O684" s="295"/>
      <c r="P684" s="295"/>
      <c r="Q684" s="296"/>
      <c r="R684" s="227"/>
      <c r="S684" s="228" t="e">
        <f>IF(C684="",NA(),MATCH($B684&amp;$C684,'Smelter Reference List'!$J:$J,0))</f>
        <v>#N/A</v>
      </c>
      <c r="T684" s="229"/>
      <c r="U684" s="229">
        <f t="shared" ca="1" si="22"/>
        <v>0</v>
      </c>
      <c r="V684" s="229"/>
      <c r="W684" s="229"/>
      <c r="Y684" s="223" t="str">
        <f t="shared" si="23"/>
        <v/>
      </c>
    </row>
    <row r="685" spans="1:25" s="223" customFormat="1" ht="20.25">
      <c r="A685" s="291"/>
      <c r="B685" s="292" t="str">
        <f>IF(LEN(A685)=0,"",INDEX('Smelter Reference List'!$A:$A,MATCH($A685,'Smelter Reference List'!$E:$E,0)))</f>
        <v/>
      </c>
      <c r="C685" s="298" t="str">
        <f>IF(LEN(A685)=0,"",INDEX('Smelter Reference List'!$C:$C,MATCH($A685,'Smelter Reference List'!$E:$E,0)))</f>
        <v/>
      </c>
      <c r="D685" s="292" t="str">
        <f ca="1">IF(ISERROR($S685),"",OFFSET('Smelter Reference List'!$C$4,$S685-4,0)&amp;"")</f>
        <v/>
      </c>
      <c r="E685" s="292" t="str">
        <f ca="1">IF(ISERROR($S685),"",OFFSET('Smelter Reference List'!$D$4,$S685-4,0)&amp;"")</f>
        <v/>
      </c>
      <c r="F685" s="292" t="str">
        <f ca="1">IF(ISERROR($S685),"",OFFSET('Smelter Reference List'!$E$4,$S685-4,0))</f>
        <v/>
      </c>
      <c r="G685" s="292" t="str">
        <f ca="1">IF(C685=$U$4,"Enter smelter details", IF(ISERROR($S685),"",OFFSET('Smelter Reference List'!$F$4,$S685-4,0)))</f>
        <v/>
      </c>
      <c r="H685" s="293" t="str">
        <f ca="1">IF(ISERROR($S685),"",OFFSET('Smelter Reference List'!$G$4,$S685-4,0))</f>
        <v/>
      </c>
      <c r="I685" s="294" t="str">
        <f ca="1">IF(ISERROR($S685),"",OFFSET('Smelter Reference List'!$H$4,$S685-4,0))</f>
        <v/>
      </c>
      <c r="J685" s="294" t="str">
        <f ca="1">IF(ISERROR($S685),"",OFFSET('Smelter Reference List'!$I$4,$S685-4,0))</f>
        <v/>
      </c>
      <c r="K685" s="295"/>
      <c r="L685" s="295"/>
      <c r="M685" s="295"/>
      <c r="N685" s="295"/>
      <c r="O685" s="295"/>
      <c r="P685" s="295"/>
      <c r="Q685" s="296"/>
      <c r="R685" s="227"/>
      <c r="S685" s="228" t="e">
        <f>IF(C685="",NA(),MATCH($B685&amp;$C685,'Smelter Reference List'!$J:$J,0))</f>
        <v>#N/A</v>
      </c>
      <c r="T685" s="229"/>
      <c r="U685" s="229">
        <f t="shared" ca="1" si="22"/>
        <v>0</v>
      </c>
      <c r="V685" s="229"/>
      <c r="W685" s="229"/>
      <c r="Y685" s="223" t="str">
        <f t="shared" si="23"/>
        <v/>
      </c>
    </row>
    <row r="686" spans="1:25" s="223" customFormat="1" ht="20.25">
      <c r="A686" s="291"/>
      <c r="B686" s="292" t="str">
        <f>IF(LEN(A686)=0,"",INDEX('Smelter Reference List'!$A:$A,MATCH($A686,'Smelter Reference List'!$E:$E,0)))</f>
        <v/>
      </c>
      <c r="C686" s="298" t="str">
        <f>IF(LEN(A686)=0,"",INDEX('Smelter Reference List'!$C:$C,MATCH($A686,'Smelter Reference List'!$E:$E,0)))</f>
        <v/>
      </c>
      <c r="D686" s="292" t="str">
        <f ca="1">IF(ISERROR($S686),"",OFFSET('Smelter Reference List'!$C$4,$S686-4,0)&amp;"")</f>
        <v/>
      </c>
      <c r="E686" s="292" t="str">
        <f ca="1">IF(ISERROR($S686),"",OFFSET('Smelter Reference List'!$D$4,$S686-4,0)&amp;"")</f>
        <v/>
      </c>
      <c r="F686" s="292" t="str">
        <f ca="1">IF(ISERROR($S686),"",OFFSET('Smelter Reference List'!$E$4,$S686-4,0))</f>
        <v/>
      </c>
      <c r="G686" s="292" t="str">
        <f ca="1">IF(C686=$U$4,"Enter smelter details", IF(ISERROR($S686),"",OFFSET('Smelter Reference List'!$F$4,$S686-4,0)))</f>
        <v/>
      </c>
      <c r="H686" s="293" t="str">
        <f ca="1">IF(ISERROR($S686),"",OFFSET('Smelter Reference List'!$G$4,$S686-4,0))</f>
        <v/>
      </c>
      <c r="I686" s="294" t="str">
        <f ca="1">IF(ISERROR($S686),"",OFFSET('Smelter Reference List'!$H$4,$S686-4,0))</f>
        <v/>
      </c>
      <c r="J686" s="294" t="str">
        <f ca="1">IF(ISERROR($S686),"",OFFSET('Smelter Reference List'!$I$4,$S686-4,0))</f>
        <v/>
      </c>
      <c r="K686" s="295"/>
      <c r="L686" s="295"/>
      <c r="M686" s="295"/>
      <c r="N686" s="295"/>
      <c r="O686" s="295"/>
      <c r="P686" s="295"/>
      <c r="Q686" s="296"/>
      <c r="R686" s="227"/>
      <c r="S686" s="228" t="e">
        <f>IF(C686="",NA(),MATCH($B686&amp;$C686,'Smelter Reference List'!$J:$J,0))</f>
        <v>#N/A</v>
      </c>
      <c r="T686" s="229"/>
      <c r="U686" s="229">
        <f t="shared" ca="1" si="22"/>
        <v>0</v>
      </c>
      <c r="V686" s="229"/>
      <c r="W686" s="229"/>
      <c r="Y686" s="223" t="str">
        <f t="shared" si="23"/>
        <v/>
      </c>
    </row>
    <row r="687" spans="1:25" s="223" customFormat="1" ht="20.25">
      <c r="A687" s="291"/>
      <c r="B687" s="292" t="str">
        <f>IF(LEN(A687)=0,"",INDEX('Smelter Reference List'!$A:$A,MATCH($A687,'Smelter Reference List'!$E:$E,0)))</f>
        <v/>
      </c>
      <c r="C687" s="298" t="str">
        <f>IF(LEN(A687)=0,"",INDEX('Smelter Reference List'!$C:$C,MATCH($A687,'Smelter Reference List'!$E:$E,0)))</f>
        <v/>
      </c>
      <c r="D687" s="292" t="str">
        <f ca="1">IF(ISERROR($S687),"",OFFSET('Smelter Reference List'!$C$4,$S687-4,0)&amp;"")</f>
        <v/>
      </c>
      <c r="E687" s="292" t="str">
        <f ca="1">IF(ISERROR($S687),"",OFFSET('Smelter Reference List'!$D$4,$S687-4,0)&amp;"")</f>
        <v/>
      </c>
      <c r="F687" s="292" t="str">
        <f ca="1">IF(ISERROR($S687),"",OFFSET('Smelter Reference List'!$E$4,$S687-4,0))</f>
        <v/>
      </c>
      <c r="G687" s="292" t="str">
        <f ca="1">IF(C687=$U$4,"Enter smelter details", IF(ISERROR($S687),"",OFFSET('Smelter Reference List'!$F$4,$S687-4,0)))</f>
        <v/>
      </c>
      <c r="H687" s="293" t="str">
        <f ca="1">IF(ISERROR($S687),"",OFFSET('Smelter Reference List'!$G$4,$S687-4,0))</f>
        <v/>
      </c>
      <c r="I687" s="294" t="str">
        <f ca="1">IF(ISERROR($S687),"",OFFSET('Smelter Reference List'!$H$4,$S687-4,0))</f>
        <v/>
      </c>
      <c r="J687" s="294" t="str">
        <f ca="1">IF(ISERROR($S687),"",OFFSET('Smelter Reference List'!$I$4,$S687-4,0))</f>
        <v/>
      </c>
      <c r="K687" s="295"/>
      <c r="L687" s="295"/>
      <c r="M687" s="295"/>
      <c r="N687" s="295"/>
      <c r="O687" s="295"/>
      <c r="P687" s="295"/>
      <c r="Q687" s="296"/>
      <c r="R687" s="227"/>
      <c r="S687" s="228" t="e">
        <f>IF(C687="",NA(),MATCH($B687&amp;$C687,'Smelter Reference List'!$J:$J,0))</f>
        <v>#N/A</v>
      </c>
      <c r="T687" s="229"/>
      <c r="U687" s="229">
        <f t="shared" ca="1" si="22"/>
        <v>0</v>
      </c>
      <c r="V687" s="229"/>
      <c r="W687" s="229"/>
      <c r="Y687" s="223" t="str">
        <f t="shared" si="23"/>
        <v/>
      </c>
    </row>
    <row r="688" spans="1:25" s="223" customFormat="1" ht="20.25">
      <c r="A688" s="291"/>
      <c r="B688" s="292" t="str">
        <f>IF(LEN(A688)=0,"",INDEX('Smelter Reference List'!$A:$A,MATCH($A688,'Smelter Reference List'!$E:$E,0)))</f>
        <v/>
      </c>
      <c r="C688" s="298" t="str">
        <f>IF(LEN(A688)=0,"",INDEX('Smelter Reference List'!$C:$C,MATCH($A688,'Smelter Reference List'!$E:$E,0)))</f>
        <v/>
      </c>
      <c r="D688" s="292" t="str">
        <f ca="1">IF(ISERROR($S688),"",OFFSET('Smelter Reference List'!$C$4,$S688-4,0)&amp;"")</f>
        <v/>
      </c>
      <c r="E688" s="292" t="str">
        <f ca="1">IF(ISERROR($S688),"",OFFSET('Smelter Reference List'!$D$4,$S688-4,0)&amp;"")</f>
        <v/>
      </c>
      <c r="F688" s="292" t="str">
        <f ca="1">IF(ISERROR($S688),"",OFFSET('Smelter Reference List'!$E$4,$S688-4,0))</f>
        <v/>
      </c>
      <c r="G688" s="292" t="str">
        <f ca="1">IF(C688=$U$4,"Enter smelter details", IF(ISERROR($S688),"",OFFSET('Smelter Reference List'!$F$4,$S688-4,0)))</f>
        <v/>
      </c>
      <c r="H688" s="293" t="str">
        <f ca="1">IF(ISERROR($S688),"",OFFSET('Smelter Reference List'!$G$4,$S688-4,0))</f>
        <v/>
      </c>
      <c r="I688" s="294" t="str">
        <f ca="1">IF(ISERROR($S688),"",OFFSET('Smelter Reference List'!$H$4,$S688-4,0))</f>
        <v/>
      </c>
      <c r="J688" s="294" t="str">
        <f ca="1">IF(ISERROR($S688),"",OFFSET('Smelter Reference List'!$I$4,$S688-4,0))</f>
        <v/>
      </c>
      <c r="K688" s="295"/>
      <c r="L688" s="295"/>
      <c r="M688" s="295"/>
      <c r="N688" s="295"/>
      <c r="O688" s="295"/>
      <c r="P688" s="295"/>
      <c r="Q688" s="296"/>
      <c r="R688" s="227"/>
      <c r="S688" s="228" t="e">
        <f>IF(C688="",NA(),MATCH($B688&amp;$C688,'Smelter Reference List'!$J:$J,0))</f>
        <v>#N/A</v>
      </c>
      <c r="T688" s="229"/>
      <c r="U688" s="229">
        <f t="shared" ca="1" si="22"/>
        <v>0</v>
      </c>
      <c r="V688" s="229"/>
      <c r="W688" s="229"/>
      <c r="Y688" s="223" t="str">
        <f t="shared" si="23"/>
        <v/>
      </c>
    </row>
    <row r="689" spans="1:25" s="223" customFormat="1" ht="20.25">
      <c r="A689" s="291"/>
      <c r="B689" s="292" t="str">
        <f>IF(LEN(A689)=0,"",INDEX('Smelter Reference List'!$A:$A,MATCH($A689,'Smelter Reference List'!$E:$E,0)))</f>
        <v/>
      </c>
      <c r="C689" s="298" t="str">
        <f>IF(LEN(A689)=0,"",INDEX('Smelter Reference List'!$C:$C,MATCH($A689,'Smelter Reference List'!$E:$E,0)))</f>
        <v/>
      </c>
      <c r="D689" s="292" t="str">
        <f ca="1">IF(ISERROR($S689),"",OFFSET('Smelter Reference List'!$C$4,$S689-4,0)&amp;"")</f>
        <v/>
      </c>
      <c r="E689" s="292" t="str">
        <f ca="1">IF(ISERROR($S689),"",OFFSET('Smelter Reference List'!$D$4,$S689-4,0)&amp;"")</f>
        <v/>
      </c>
      <c r="F689" s="292" t="str">
        <f ca="1">IF(ISERROR($S689),"",OFFSET('Smelter Reference List'!$E$4,$S689-4,0))</f>
        <v/>
      </c>
      <c r="G689" s="292" t="str">
        <f ca="1">IF(C689=$U$4,"Enter smelter details", IF(ISERROR($S689),"",OFFSET('Smelter Reference List'!$F$4,$S689-4,0)))</f>
        <v/>
      </c>
      <c r="H689" s="293" t="str">
        <f ca="1">IF(ISERROR($S689),"",OFFSET('Smelter Reference List'!$G$4,$S689-4,0))</f>
        <v/>
      </c>
      <c r="I689" s="294" t="str">
        <f ca="1">IF(ISERROR($S689),"",OFFSET('Smelter Reference List'!$H$4,$S689-4,0))</f>
        <v/>
      </c>
      <c r="J689" s="294" t="str">
        <f ca="1">IF(ISERROR($S689),"",OFFSET('Smelter Reference List'!$I$4,$S689-4,0))</f>
        <v/>
      </c>
      <c r="K689" s="295"/>
      <c r="L689" s="295"/>
      <c r="M689" s="295"/>
      <c r="N689" s="295"/>
      <c r="O689" s="295"/>
      <c r="P689" s="295"/>
      <c r="Q689" s="296"/>
      <c r="R689" s="227"/>
      <c r="S689" s="228" t="e">
        <f>IF(C689="",NA(),MATCH($B689&amp;$C689,'Smelter Reference List'!$J:$J,0))</f>
        <v>#N/A</v>
      </c>
      <c r="T689" s="229"/>
      <c r="U689" s="229">
        <f t="shared" ca="1" si="22"/>
        <v>0</v>
      </c>
      <c r="V689" s="229"/>
      <c r="W689" s="229"/>
      <c r="Y689" s="223" t="str">
        <f t="shared" si="23"/>
        <v/>
      </c>
    </row>
    <row r="690" spans="1:25" s="223" customFormat="1" ht="20.25">
      <c r="A690" s="291"/>
      <c r="B690" s="292" t="str">
        <f>IF(LEN(A690)=0,"",INDEX('Smelter Reference List'!$A:$A,MATCH($A690,'Smelter Reference List'!$E:$E,0)))</f>
        <v/>
      </c>
      <c r="C690" s="298" t="str">
        <f>IF(LEN(A690)=0,"",INDEX('Smelter Reference List'!$C:$C,MATCH($A690,'Smelter Reference List'!$E:$E,0)))</f>
        <v/>
      </c>
      <c r="D690" s="292" t="str">
        <f ca="1">IF(ISERROR($S690),"",OFFSET('Smelter Reference List'!$C$4,$S690-4,0)&amp;"")</f>
        <v/>
      </c>
      <c r="E690" s="292" t="str">
        <f ca="1">IF(ISERROR($S690),"",OFFSET('Smelter Reference List'!$D$4,$S690-4,0)&amp;"")</f>
        <v/>
      </c>
      <c r="F690" s="292" t="str">
        <f ca="1">IF(ISERROR($S690),"",OFFSET('Smelter Reference List'!$E$4,$S690-4,0))</f>
        <v/>
      </c>
      <c r="G690" s="292" t="str">
        <f ca="1">IF(C690=$U$4,"Enter smelter details", IF(ISERROR($S690),"",OFFSET('Smelter Reference List'!$F$4,$S690-4,0)))</f>
        <v/>
      </c>
      <c r="H690" s="293" t="str">
        <f ca="1">IF(ISERROR($S690),"",OFFSET('Smelter Reference List'!$G$4,$S690-4,0))</f>
        <v/>
      </c>
      <c r="I690" s="294" t="str">
        <f ca="1">IF(ISERROR($S690),"",OFFSET('Smelter Reference List'!$H$4,$S690-4,0))</f>
        <v/>
      </c>
      <c r="J690" s="294" t="str">
        <f ca="1">IF(ISERROR($S690),"",OFFSET('Smelter Reference List'!$I$4,$S690-4,0))</f>
        <v/>
      </c>
      <c r="K690" s="295"/>
      <c r="L690" s="295"/>
      <c r="M690" s="295"/>
      <c r="N690" s="295"/>
      <c r="O690" s="295"/>
      <c r="P690" s="295"/>
      <c r="Q690" s="296"/>
      <c r="R690" s="227"/>
      <c r="S690" s="228" t="e">
        <f>IF(C690="",NA(),MATCH($B690&amp;$C690,'Smelter Reference List'!$J:$J,0))</f>
        <v>#N/A</v>
      </c>
      <c r="T690" s="229"/>
      <c r="U690" s="229">
        <f t="shared" ca="1" si="22"/>
        <v>0</v>
      </c>
      <c r="V690" s="229"/>
      <c r="W690" s="229"/>
      <c r="Y690" s="223" t="str">
        <f t="shared" si="23"/>
        <v/>
      </c>
    </row>
    <row r="691" spans="1:25" s="223" customFormat="1" ht="20.25">
      <c r="A691" s="291"/>
      <c r="B691" s="292" t="str">
        <f>IF(LEN(A691)=0,"",INDEX('Smelter Reference List'!$A:$A,MATCH($A691,'Smelter Reference List'!$E:$E,0)))</f>
        <v/>
      </c>
      <c r="C691" s="298" t="str">
        <f>IF(LEN(A691)=0,"",INDEX('Smelter Reference List'!$C:$C,MATCH($A691,'Smelter Reference List'!$E:$E,0)))</f>
        <v/>
      </c>
      <c r="D691" s="292" t="str">
        <f ca="1">IF(ISERROR($S691),"",OFFSET('Smelter Reference List'!$C$4,$S691-4,0)&amp;"")</f>
        <v/>
      </c>
      <c r="E691" s="292" t="str">
        <f ca="1">IF(ISERROR($S691),"",OFFSET('Smelter Reference List'!$D$4,$S691-4,0)&amp;"")</f>
        <v/>
      </c>
      <c r="F691" s="292" t="str">
        <f ca="1">IF(ISERROR($S691),"",OFFSET('Smelter Reference List'!$E$4,$S691-4,0))</f>
        <v/>
      </c>
      <c r="G691" s="292" t="str">
        <f ca="1">IF(C691=$U$4,"Enter smelter details", IF(ISERROR($S691),"",OFFSET('Smelter Reference List'!$F$4,$S691-4,0)))</f>
        <v/>
      </c>
      <c r="H691" s="293" t="str">
        <f ca="1">IF(ISERROR($S691),"",OFFSET('Smelter Reference List'!$G$4,$S691-4,0))</f>
        <v/>
      </c>
      <c r="I691" s="294" t="str">
        <f ca="1">IF(ISERROR($S691),"",OFFSET('Smelter Reference List'!$H$4,$S691-4,0))</f>
        <v/>
      </c>
      <c r="J691" s="294" t="str">
        <f ca="1">IF(ISERROR($S691),"",OFFSET('Smelter Reference List'!$I$4,$S691-4,0))</f>
        <v/>
      </c>
      <c r="K691" s="295"/>
      <c r="L691" s="295"/>
      <c r="M691" s="295"/>
      <c r="N691" s="295"/>
      <c r="O691" s="295"/>
      <c r="P691" s="295"/>
      <c r="Q691" s="296"/>
      <c r="R691" s="227"/>
      <c r="S691" s="228" t="e">
        <f>IF(C691="",NA(),MATCH($B691&amp;$C691,'Smelter Reference List'!$J:$J,0))</f>
        <v>#N/A</v>
      </c>
      <c r="T691" s="229"/>
      <c r="U691" s="229">
        <f t="shared" ca="1" si="22"/>
        <v>0</v>
      </c>
      <c r="V691" s="229"/>
      <c r="W691" s="229"/>
      <c r="Y691" s="223" t="str">
        <f t="shared" si="23"/>
        <v/>
      </c>
    </row>
    <row r="692" spans="1:25" s="223" customFormat="1" ht="20.25">
      <c r="A692" s="291"/>
      <c r="B692" s="292" t="str">
        <f>IF(LEN(A692)=0,"",INDEX('Smelter Reference List'!$A:$A,MATCH($A692,'Smelter Reference List'!$E:$E,0)))</f>
        <v/>
      </c>
      <c r="C692" s="298" t="str">
        <f>IF(LEN(A692)=0,"",INDEX('Smelter Reference List'!$C:$C,MATCH($A692,'Smelter Reference List'!$E:$E,0)))</f>
        <v/>
      </c>
      <c r="D692" s="292" t="str">
        <f ca="1">IF(ISERROR($S692),"",OFFSET('Smelter Reference List'!$C$4,$S692-4,0)&amp;"")</f>
        <v/>
      </c>
      <c r="E692" s="292" t="str">
        <f ca="1">IF(ISERROR($S692),"",OFFSET('Smelter Reference List'!$D$4,$S692-4,0)&amp;"")</f>
        <v/>
      </c>
      <c r="F692" s="292" t="str">
        <f ca="1">IF(ISERROR($S692),"",OFFSET('Smelter Reference List'!$E$4,$S692-4,0))</f>
        <v/>
      </c>
      <c r="G692" s="292" t="str">
        <f ca="1">IF(C692=$U$4,"Enter smelter details", IF(ISERROR($S692),"",OFFSET('Smelter Reference List'!$F$4,$S692-4,0)))</f>
        <v/>
      </c>
      <c r="H692" s="293" t="str">
        <f ca="1">IF(ISERROR($S692),"",OFFSET('Smelter Reference List'!$G$4,$S692-4,0))</f>
        <v/>
      </c>
      <c r="I692" s="294" t="str">
        <f ca="1">IF(ISERROR($S692),"",OFFSET('Smelter Reference List'!$H$4,$S692-4,0))</f>
        <v/>
      </c>
      <c r="J692" s="294" t="str">
        <f ca="1">IF(ISERROR($S692),"",OFFSET('Smelter Reference List'!$I$4,$S692-4,0))</f>
        <v/>
      </c>
      <c r="K692" s="295"/>
      <c r="L692" s="295"/>
      <c r="M692" s="295"/>
      <c r="N692" s="295"/>
      <c r="O692" s="295"/>
      <c r="P692" s="295"/>
      <c r="Q692" s="296"/>
      <c r="R692" s="227"/>
      <c r="S692" s="228" t="e">
        <f>IF(C692="",NA(),MATCH($B692&amp;$C692,'Smelter Reference List'!$J:$J,0))</f>
        <v>#N/A</v>
      </c>
      <c r="T692" s="229"/>
      <c r="U692" s="229">
        <f t="shared" ca="1" si="22"/>
        <v>0</v>
      </c>
      <c r="V692" s="229"/>
      <c r="W692" s="229"/>
      <c r="Y692" s="223" t="str">
        <f t="shared" si="23"/>
        <v/>
      </c>
    </row>
    <row r="693" spans="1:25" s="223" customFormat="1" ht="20.25">
      <c r="A693" s="291"/>
      <c r="B693" s="292" t="str">
        <f>IF(LEN(A693)=0,"",INDEX('Smelter Reference List'!$A:$A,MATCH($A693,'Smelter Reference List'!$E:$E,0)))</f>
        <v/>
      </c>
      <c r="C693" s="298" t="str">
        <f>IF(LEN(A693)=0,"",INDEX('Smelter Reference List'!$C:$C,MATCH($A693,'Smelter Reference List'!$E:$E,0)))</f>
        <v/>
      </c>
      <c r="D693" s="292" t="str">
        <f ca="1">IF(ISERROR($S693),"",OFFSET('Smelter Reference List'!$C$4,$S693-4,0)&amp;"")</f>
        <v/>
      </c>
      <c r="E693" s="292" t="str">
        <f ca="1">IF(ISERROR($S693),"",OFFSET('Smelter Reference List'!$D$4,$S693-4,0)&amp;"")</f>
        <v/>
      </c>
      <c r="F693" s="292" t="str">
        <f ca="1">IF(ISERROR($S693),"",OFFSET('Smelter Reference List'!$E$4,$S693-4,0))</f>
        <v/>
      </c>
      <c r="G693" s="292" t="str">
        <f ca="1">IF(C693=$U$4,"Enter smelter details", IF(ISERROR($S693),"",OFFSET('Smelter Reference List'!$F$4,$S693-4,0)))</f>
        <v/>
      </c>
      <c r="H693" s="293" t="str">
        <f ca="1">IF(ISERROR($S693),"",OFFSET('Smelter Reference List'!$G$4,$S693-4,0))</f>
        <v/>
      </c>
      <c r="I693" s="294" t="str">
        <f ca="1">IF(ISERROR($S693),"",OFFSET('Smelter Reference List'!$H$4,$S693-4,0))</f>
        <v/>
      </c>
      <c r="J693" s="294" t="str">
        <f ca="1">IF(ISERROR($S693),"",OFFSET('Smelter Reference List'!$I$4,$S693-4,0))</f>
        <v/>
      </c>
      <c r="K693" s="295"/>
      <c r="L693" s="295"/>
      <c r="M693" s="295"/>
      <c r="N693" s="295"/>
      <c r="O693" s="295"/>
      <c r="P693" s="295"/>
      <c r="Q693" s="296"/>
      <c r="R693" s="227"/>
      <c r="S693" s="228" t="e">
        <f>IF(C693="",NA(),MATCH($B693&amp;$C693,'Smelter Reference List'!$J:$J,0))</f>
        <v>#N/A</v>
      </c>
      <c r="T693" s="229"/>
      <c r="U693" s="229">
        <f t="shared" ca="1" si="22"/>
        <v>0</v>
      </c>
      <c r="V693" s="229"/>
      <c r="W693" s="229"/>
      <c r="Y693" s="223" t="str">
        <f t="shared" si="23"/>
        <v/>
      </c>
    </row>
    <row r="694" spans="1:25" s="223" customFormat="1" ht="20.25">
      <c r="A694" s="291"/>
      <c r="B694" s="292" t="str">
        <f>IF(LEN(A694)=0,"",INDEX('Smelter Reference List'!$A:$A,MATCH($A694,'Smelter Reference List'!$E:$E,0)))</f>
        <v/>
      </c>
      <c r="C694" s="298" t="str">
        <f>IF(LEN(A694)=0,"",INDEX('Smelter Reference List'!$C:$C,MATCH($A694,'Smelter Reference List'!$E:$E,0)))</f>
        <v/>
      </c>
      <c r="D694" s="292" t="str">
        <f ca="1">IF(ISERROR($S694),"",OFFSET('Smelter Reference List'!$C$4,$S694-4,0)&amp;"")</f>
        <v/>
      </c>
      <c r="E694" s="292" t="str">
        <f ca="1">IF(ISERROR($S694),"",OFFSET('Smelter Reference List'!$D$4,$S694-4,0)&amp;"")</f>
        <v/>
      </c>
      <c r="F694" s="292" t="str">
        <f ca="1">IF(ISERROR($S694),"",OFFSET('Smelter Reference List'!$E$4,$S694-4,0))</f>
        <v/>
      </c>
      <c r="G694" s="292" t="str">
        <f ca="1">IF(C694=$U$4,"Enter smelter details", IF(ISERROR($S694),"",OFFSET('Smelter Reference List'!$F$4,$S694-4,0)))</f>
        <v/>
      </c>
      <c r="H694" s="293" t="str">
        <f ca="1">IF(ISERROR($S694),"",OFFSET('Smelter Reference List'!$G$4,$S694-4,0))</f>
        <v/>
      </c>
      <c r="I694" s="294" t="str">
        <f ca="1">IF(ISERROR($S694),"",OFFSET('Smelter Reference List'!$H$4,$S694-4,0))</f>
        <v/>
      </c>
      <c r="J694" s="294" t="str">
        <f ca="1">IF(ISERROR($S694),"",OFFSET('Smelter Reference List'!$I$4,$S694-4,0))</f>
        <v/>
      </c>
      <c r="K694" s="295"/>
      <c r="L694" s="295"/>
      <c r="M694" s="295"/>
      <c r="N694" s="295"/>
      <c r="O694" s="295"/>
      <c r="P694" s="295"/>
      <c r="Q694" s="296"/>
      <c r="R694" s="227"/>
      <c r="S694" s="228" t="e">
        <f>IF(C694="",NA(),MATCH($B694&amp;$C694,'Smelter Reference List'!$J:$J,0))</f>
        <v>#N/A</v>
      </c>
      <c r="T694" s="229"/>
      <c r="U694" s="229">
        <f t="shared" ca="1" si="22"/>
        <v>0</v>
      </c>
      <c r="V694" s="229"/>
      <c r="W694" s="229"/>
      <c r="Y694" s="223" t="str">
        <f t="shared" si="23"/>
        <v/>
      </c>
    </row>
    <row r="695" spans="1:25" s="223" customFormat="1" ht="20.25">
      <c r="A695" s="291"/>
      <c r="B695" s="292" t="str">
        <f>IF(LEN(A695)=0,"",INDEX('Smelter Reference List'!$A:$A,MATCH($A695,'Smelter Reference List'!$E:$E,0)))</f>
        <v/>
      </c>
      <c r="C695" s="298" t="str">
        <f>IF(LEN(A695)=0,"",INDEX('Smelter Reference List'!$C:$C,MATCH($A695,'Smelter Reference List'!$E:$E,0)))</f>
        <v/>
      </c>
      <c r="D695" s="292" t="str">
        <f ca="1">IF(ISERROR($S695),"",OFFSET('Smelter Reference List'!$C$4,$S695-4,0)&amp;"")</f>
        <v/>
      </c>
      <c r="E695" s="292" t="str">
        <f ca="1">IF(ISERROR($S695),"",OFFSET('Smelter Reference List'!$D$4,$S695-4,0)&amp;"")</f>
        <v/>
      </c>
      <c r="F695" s="292" t="str">
        <f ca="1">IF(ISERROR($S695),"",OFFSET('Smelter Reference List'!$E$4,$S695-4,0))</f>
        <v/>
      </c>
      <c r="G695" s="292" t="str">
        <f ca="1">IF(C695=$U$4,"Enter smelter details", IF(ISERROR($S695),"",OFFSET('Smelter Reference List'!$F$4,$S695-4,0)))</f>
        <v/>
      </c>
      <c r="H695" s="293" t="str">
        <f ca="1">IF(ISERROR($S695),"",OFFSET('Smelter Reference List'!$G$4,$S695-4,0))</f>
        <v/>
      </c>
      <c r="I695" s="294" t="str">
        <f ca="1">IF(ISERROR($S695),"",OFFSET('Smelter Reference List'!$H$4,$S695-4,0))</f>
        <v/>
      </c>
      <c r="J695" s="294" t="str">
        <f ca="1">IF(ISERROR($S695),"",OFFSET('Smelter Reference List'!$I$4,$S695-4,0))</f>
        <v/>
      </c>
      <c r="K695" s="295"/>
      <c r="L695" s="295"/>
      <c r="M695" s="295"/>
      <c r="N695" s="295"/>
      <c r="O695" s="295"/>
      <c r="P695" s="295"/>
      <c r="Q695" s="296"/>
      <c r="R695" s="227"/>
      <c r="S695" s="228" t="e">
        <f>IF(C695="",NA(),MATCH($B695&amp;$C695,'Smelter Reference List'!$J:$J,0))</f>
        <v>#N/A</v>
      </c>
      <c r="T695" s="229"/>
      <c r="U695" s="229">
        <f t="shared" ca="1" si="22"/>
        <v>0</v>
      </c>
      <c r="V695" s="229"/>
      <c r="W695" s="229"/>
      <c r="Y695" s="223" t="str">
        <f t="shared" si="23"/>
        <v/>
      </c>
    </row>
    <row r="696" spans="1:25" s="223" customFormat="1" ht="20.25">
      <c r="A696" s="291"/>
      <c r="B696" s="292" t="str">
        <f>IF(LEN(A696)=0,"",INDEX('Smelter Reference List'!$A:$A,MATCH($A696,'Smelter Reference List'!$E:$E,0)))</f>
        <v/>
      </c>
      <c r="C696" s="298" t="str">
        <f>IF(LEN(A696)=0,"",INDEX('Smelter Reference List'!$C:$C,MATCH($A696,'Smelter Reference List'!$E:$E,0)))</f>
        <v/>
      </c>
      <c r="D696" s="292" t="str">
        <f ca="1">IF(ISERROR($S696),"",OFFSET('Smelter Reference List'!$C$4,$S696-4,0)&amp;"")</f>
        <v/>
      </c>
      <c r="E696" s="292" t="str">
        <f ca="1">IF(ISERROR($S696),"",OFFSET('Smelter Reference List'!$D$4,$S696-4,0)&amp;"")</f>
        <v/>
      </c>
      <c r="F696" s="292" t="str">
        <f ca="1">IF(ISERROR($S696),"",OFFSET('Smelter Reference List'!$E$4,$S696-4,0))</f>
        <v/>
      </c>
      <c r="G696" s="292" t="str">
        <f ca="1">IF(C696=$U$4,"Enter smelter details", IF(ISERROR($S696),"",OFFSET('Smelter Reference List'!$F$4,$S696-4,0)))</f>
        <v/>
      </c>
      <c r="H696" s="293" t="str">
        <f ca="1">IF(ISERROR($S696),"",OFFSET('Smelter Reference List'!$G$4,$S696-4,0))</f>
        <v/>
      </c>
      <c r="I696" s="294" t="str">
        <f ca="1">IF(ISERROR($S696),"",OFFSET('Smelter Reference List'!$H$4,$S696-4,0))</f>
        <v/>
      </c>
      <c r="J696" s="294" t="str">
        <f ca="1">IF(ISERROR($S696),"",OFFSET('Smelter Reference List'!$I$4,$S696-4,0))</f>
        <v/>
      </c>
      <c r="K696" s="295"/>
      <c r="L696" s="295"/>
      <c r="M696" s="295"/>
      <c r="N696" s="295"/>
      <c r="O696" s="295"/>
      <c r="P696" s="295"/>
      <c r="Q696" s="296"/>
      <c r="R696" s="227"/>
      <c r="S696" s="228" t="e">
        <f>IF(C696="",NA(),MATCH($B696&amp;$C696,'Smelter Reference List'!$J:$J,0))</f>
        <v>#N/A</v>
      </c>
      <c r="T696" s="229"/>
      <c r="U696" s="229">
        <f t="shared" ca="1" si="22"/>
        <v>0</v>
      </c>
      <c r="V696" s="229"/>
      <c r="W696" s="229"/>
      <c r="Y696" s="223" t="str">
        <f t="shared" si="23"/>
        <v/>
      </c>
    </row>
    <row r="697" spans="1:25" s="223" customFormat="1" ht="20.25">
      <c r="A697" s="291"/>
      <c r="B697" s="292" t="str">
        <f>IF(LEN(A697)=0,"",INDEX('Smelter Reference List'!$A:$A,MATCH($A697,'Smelter Reference List'!$E:$E,0)))</f>
        <v/>
      </c>
      <c r="C697" s="298" t="str">
        <f>IF(LEN(A697)=0,"",INDEX('Smelter Reference List'!$C:$C,MATCH($A697,'Smelter Reference List'!$E:$E,0)))</f>
        <v/>
      </c>
      <c r="D697" s="292" t="str">
        <f ca="1">IF(ISERROR($S697),"",OFFSET('Smelter Reference List'!$C$4,$S697-4,0)&amp;"")</f>
        <v/>
      </c>
      <c r="E697" s="292" t="str">
        <f ca="1">IF(ISERROR($S697),"",OFFSET('Smelter Reference List'!$D$4,$S697-4,0)&amp;"")</f>
        <v/>
      </c>
      <c r="F697" s="292" t="str">
        <f ca="1">IF(ISERROR($S697),"",OFFSET('Smelter Reference List'!$E$4,$S697-4,0))</f>
        <v/>
      </c>
      <c r="G697" s="292" t="str">
        <f ca="1">IF(C697=$U$4,"Enter smelter details", IF(ISERROR($S697),"",OFFSET('Smelter Reference List'!$F$4,$S697-4,0)))</f>
        <v/>
      </c>
      <c r="H697" s="293" t="str">
        <f ca="1">IF(ISERROR($S697),"",OFFSET('Smelter Reference List'!$G$4,$S697-4,0))</f>
        <v/>
      </c>
      <c r="I697" s="294" t="str">
        <f ca="1">IF(ISERROR($S697),"",OFFSET('Smelter Reference List'!$H$4,$S697-4,0))</f>
        <v/>
      </c>
      <c r="J697" s="294" t="str">
        <f ca="1">IF(ISERROR($S697),"",OFFSET('Smelter Reference List'!$I$4,$S697-4,0))</f>
        <v/>
      </c>
      <c r="K697" s="295"/>
      <c r="L697" s="295"/>
      <c r="M697" s="295"/>
      <c r="N697" s="295"/>
      <c r="O697" s="295"/>
      <c r="P697" s="295"/>
      <c r="Q697" s="296"/>
      <c r="R697" s="227"/>
      <c r="S697" s="228" t="e">
        <f>IF(C697="",NA(),MATCH($B697&amp;$C697,'Smelter Reference List'!$J:$J,0))</f>
        <v>#N/A</v>
      </c>
      <c r="T697" s="229"/>
      <c r="U697" s="229">
        <f t="shared" ca="1" si="22"/>
        <v>0</v>
      </c>
      <c r="V697" s="229"/>
      <c r="W697" s="229"/>
      <c r="Y697" s="223" t="str">
        <f t="shared" si="23"/>
        <v/>
      </c>
    </row>
    <row r="698" spans="1:25" s="223" customFormat="1" ht="20.25">
      <c r="A698" s="291"/>
      <c r="B698" s="292" t="str">
        <f>IF(LEN(A698)=0,"",INDEX('Smelter Reference List'!$A:$A,MATCH($A698,'Smelter Reference List'!$E:$E,0)))</f>
        <v/>
      </c>
      <c r="C698" s="298" t="str">
        <f>IF(LEN(A698)=0,"",INDEX('Smelter Reference List'!$C:$C,MATCH($A698,'Smelter Reference List'!$E:$E,0)))</f>
        <v/>
      </c>
      <c r="D698" s="292" t="str">
        <f ca="1">IF(ISERROR($S698),"",OFFSET('Smelter Reference List'!$C$4,$S698-4,0)&amp;"")</f>
        <v/>
      </c>
      <c r="E698" s="292" t="str">
        <f ca="1">IF(ISERROR($S698),"",OFFSET('Smelter Reference List'!$D$4,$S698-4,0)&amp;"")</f>
        <v/>
      </c>
      <c r="F698" s="292" t="str">
        <f ca="1">IF(ISERROR($S698),"",OFFSET('Smelter Reference List'!$E$4,$S698-4,0))</f>
        <v/>
      </c>
      <c r="G698" s="292" t="str">
        <f ca="1">IF(C698=$U$4,"Enter smelter details", IF(ISERROR($S698),"",OFFSET('Smelter Reference List'!$F$4,$S698-4,0)))</f>
        <v/>
      </c>
      <c r="H698" s="293" t="str">
        <f ca="1">IF(ISERROR($S698),"",OFFSET('Smelter Reference List'!$G$4,$S698-4,0))</f>
        <v/>
      </c>
      <c r="I698" s="294" t="str">
        <f ca="1">IF(ISERROR($S698),"",OFFSET('Smelter Reference List'!$H$4,$S698-4,0))</f>
        <v/>
      </c>
      <c r="J698" s="294" t="str">
        <f ca="1">IF(ISERROR($S698),"",OFFSET('Smelter Reference List'!$I$4,$S698-4,0))</f>
        <v/>
      </c>
      <c r="K698" s="295"/>
      <c r="L698" s="295"/>
      <c r="M698" s="295"/>
      <c r="N698" s="295"/>
      <c r="O698" s="295"/>
      <c r="P698" s="295"/>
      <c r="Q698" s="296"/>
      <c r="R698" s="227"/>
      <c r="S698" s="228" t="e">
        <f>IF(C698="",NA(),MATCH($B698&amp;$C698,'Smelter Reference List'!$J:$J,0))</f>
        <v>#N/A</v>
      </c>
      <c r="T698" s="229"/>
      <c r="U698" s="229">
        <f t="shared" ca="1" si="22"/>
        <v>0</v>
      </c>
      <c r="V698" s="229"/>
      <c r="W698" s="229"/>
      <c r="Y698" s="223" t="str">
        <f t="shared" si="23"/>
        <v/>
      </c>
    </row>
    <row r="699" spans="1:25" s="223" customFormat="1" ht="20.25">
      <c r="A699" s="291"/>
      <c r="B699" s="292" t="str">
        <f>IF(LEN(A699)=0,"",INDEX('Smelter Reference List'!$A:$A,MATCH($A699,'Smelter Reference List'!$E:$E,0)))</f>
        <v/>
      </c>
      <c r="C699" s="298" t="str">
        <f>IF(LEN(A699)=0,"",INDEX('Smelter Reference List'!$C:$C,MATCH($A699,'Smelter Reference List'!$E:$E,0)))</f>
        <v/>
      </c>
      <c r="D699" s="292" t="str">
        <f ca="1">IF(ISERROR($S699),"",OFFSET('Smelter Reference List'!$C$4,$S699-4,0)&amp;"")</f>
        <v/>
      </c>
      <c r="E699" s="292" t="str">
        <f ca="1">IF(ISERROR($S699),"",OFFSET('Smelter Reference List'!$D$4,$S699-4,0)&amp;"")</f>
        <v/>
      </c>
      <c r="F699" s="292" t="str">
        <f ca="1">IF(ISERROR($S699),"",OFFSET('Smelter Reference List'!$E$4,$S699-4,0))</f>
        <v/>
      </c>
      <c r="G699" s="292" t="str">
        <f ca="1">IF(C699=$U$4,"Enter smelter details", IF(ISERROR($S699),"",OFFSET('Smelter Reference List'!$F$4,$S699-4,0)))</f>
        <v/>
      </c>
      <c r="H699" s="293" t="str">
        <f ca="1">IF(ISERROR($S699),"",OFFSET('Smelter Reference List'!$G$4,$S699-4,0))</f>
        <v/>
      </c>
      <c r="I699" s="294" t="str">
        <f ca="1">IF(ISERROR($S699),"",OFFSET('Smelter Reference List'!$H$4,$S699-4,0))</f>
        <v/>
      </c>
      <c r="J699" s="294" t="str">
        <f ca="1">IF(ISERROR($S699),"",OFFSET('Smelter Reference List'!$I$4,$S699-4,0))</f>
        <v/>
      </c>
      <c r="K699" s="295"/>
      <c r="L699" s="295"/>
      <c r="M699" s="295"/>
      <c r="N699" s="295"/>
      <c r="O699" s="295"/>
      <c r="P699" s="295"/>
      <c r="Q699" s="296"/>
      <c r="R699" s="227"/>
      <c r="S699" s="228" t="e">
        <f>IF(C699="",NA(),MATCH($B699&amp;$C699,'Smelter Reference List'!$J:$J,0))</f>
        <v>#N/A</v>
      </c>
      <c r="T699" s="229"/>
      <c r="U699" s="229">
        <f t="shared" ca="1" si="22"/>
        <v>0</v>
      </c>
      <c r="V699" s="229"/>
      <c r="W699" s="229"/>
      <c r="Y699" s="223" t="str">
        <f t="shared" si="23"/>
        <v/>
      </c>
    </row>
    <row r="700" spans="1:25" s="223" customFormat="1" ht="20.25">
      <c r="A700" s="291"/>
      <c r="B700" s="292" t="str">
        <f>IF(LEN(A700)=0,"",INDEX('Smelter Reference List'!$A:$A,MATCH($A700,'Smelter Reference List'!$E:$E,0)))</f>
        <v/>
      </c>
      <c r="C700" s="298" t="str">
        <f>IF(LEN(A700)=0,"",INDEX('Smelter Reference List'!$C:$C,MATCH($A700,'Smelter Reference List'!$E:$E,0)))</f>
        <v/>
      </c>
      <c r="D700" s="292" t="str">
        <f ca="1">IF(ISERROR($S700),"",OFFSET('Smelter Reference List'!$C$4,$S700-4,0)&amp;"")</f>
        <v/>
      </c>
      <c r="E700" s="292" t="str">
        <f ca="1">IF(ISERROR($S700),"",OFFSET('Smelter Reference List'!$D$4,$S700-4,0)&amp;"")</f>
        <v/>
      </c>
      <c r="F700" s="292" t="str">
        <f ca="1">IF(ISERROR($S700),"",OFFSET('Smelter Reference List'!$E$4,$S700-4,0))</f>
        <v/>
      </c>
      <c r="G700" s="292" t="str">
        <f ca="1">IF(C700=$U$4,"Enter smelter details", IF(ISERROR($S700),"",OFFSET('Smelter Reference List'!$F$4,$S700-4,0)))</f>
        <v/>
      </c>
      <c r="H700" s="293" t="str">
        <f ca="1">IF(ISERROR($S700),"",OFFSET('Smelter Reference List'!$G$4,$S700-4,0))</f>
        <v/>
      </c>
      <c r="I700" s="294" t="str">
        <f ca="1">IF(ISERROR($S700),"",OFFSET('Smelter Reference List'!$H$4,$S700-4,0))</f>
        <v/>
      </c>
      <c r="J700" s="294" t="str">
        <f ca="1">IF(ISERROR($S700),"",OFFSET('Smelter Reference List'!$I$4,$S700-4,0))</f>
        <v/>
      </c>
      <c r="K700" s="295"/>
      <c r="L700" s="295"/>
      <c r="M700" s="295"/>
      <c r="N700" s="295"/>
      <c r="O700" s="295"/>
      <c r="P700" s="295"/>
      <c r="Q700" s="296"/>
      <c r="R700" s="227"/>
      <c r="S700" s="228" t="e">
        <f>IF(C700="",NA(),MATCH($B700&amp;$C700,'Smelter Reference List'!$J:$J,0))</f>
        <v>#N/A</v>
      </c>
      <c r="T700" s="229"/>
      <c r="U700" s="229">
        <f t="shared" ca="1" si="22"/>
        <v>0</v>
      </c>
      <c r="V700" s="229"/>
      <c r="W700" s="229"/>
      <c r="Y700" s="223" t="str">
        <f t="shared" si="23"/>
        <v/>
      </c>
    </row>
    <row r="701" spans="1:25" s="223" customFormat="1" ht="20.25">
      <c r="A701" s="291"/>
      <c r="B701" s="292" t="str">
        <f>IF(LEN(A701)=0,"",INDEX('Smelter Reference List'!$A:$A,MATCH($A701,'Smelter Reference List'!$E:$E,0)))</f>
        <v/>
      </c>
      <c r="C701" s="298" t="str">
        <f>IF(LEN(A701)=0,"",INDEX('Smelter Reference List'!$C:$C,MATCH($A701,'Smelter Reference List'!$E:$E,0)))</f>
        <v/>
      </c>
      <c r="D701" s="292" t="str">
        <f ca="1">IF(ISERROR($S701),"",OFFSET('Smelter Reference List'!$C$4,$S701-4,0)&amp;"")</f>
        <v/>
      </c>
      <c r="E701" s="292" t="str">
        <f ca="1">IF(ISERROR($S701),"",OFFSET('Smelter Reference List'!$D$4,$S701-4,0)&amp;"")</f>
        <v/>
      </c>
      <c r="F701" s="292" t="str">
        <f ca="1">IF(ISERROR($S701),"",OFFSET('Smelter Reference List'!$E$4,$S701-4,0))</f>
        <v/>
      </c>
      <c r="G701" s="292" t="str">
        <f ca="1">IF(C701=$U$4,"Enter smelter details", IF(ISERROR($S701),"",OFFSET('Smelter Reference List'!$F$4,$S701-4,0)))</f>
        <v/>
      </c>
      <c r="H701" s="293" t="str">
        <f ca="1">IF(ISERROR($S701),"",OFFSET('Smelter Reference List'!$G$4,$S701-4,0))</f>
        <v/>
      </c>
      <c r="I701" s="294" t="str">
        <f ca="1">IF(ISERROR($S701),"",OFFSET('Smelter Reference List'!$H$4,$S701-4,0))</f>
        <v/>
      </c>
      <c r="J701" s="294" t="str">
        <f ca="1">IF(ISERROR($S701),"",OFFSET('Smelter Reference List'!$I$4,$S701-4,0))</f>
        <v/>
      </c>
      <c r="K701" s="295"/>
      <c r="L701" s="295"/>
      <c r="M701" s="295"/>
      <c r="N701" s="295"/>
      <c r="O701" s="295"/>
      <c r="P701" s="295"/>
      <c r="Q701" s="296"/>
      <c r="R701" s="227"/>
      <c r="S701" s="228" t="e">
        <f>IF(C701="",NA(),MATCH($B701&amp;$C701,'Smelter Reference List'!$J:$J,0))</f>
        <v>#N/A</v>
      </c>
      <c r="T701" s="229"/>
      <c r="U701" s="229">
        <f t="shared" ca="1" si="22"/>
        <v>0</v>
      </c>
      <c r="V701" s="229"/>
      <c r="W701" s="229"/>
      <c r="Y701" s="223" t="str">
        <f t="shared" si="23"/>
        <v/>
      </c>
    </row>
    <row r="702" spans="1:25" s="223" customFormat="1" ht="20.25">
      <c r="A702" s="291"/>
      <c r="B702" s="292" t="str">
        <f>IF(LEN(A702)=0,"",INDEX('Smelter Reference List'!$A:$A,MATCH($A702,'Smelter Reference List'!$E:$E,0)))</f>
        <v/>
      </c>
      <c r="C702" s="298" t="str">
        <f>IF(LEN(A702)=0,"",INDEX('Smelter Reference List'!$C:$C,MATCH($A702,'Smelter Reference List'!$E:$E,0)))</f>
        <v/>
      </c>
      <c r="D702" s="292" t="str">
        <f ca="1">IF(ISERROR($S702),"",OFFSET('Smelter Reference List'!$C$4,$S702-4,0)&amp;"")</f>
        <v/>
      </c>
      <c r="E702" s="292" t="str">
        <f ca="1">IF(ISERROR($S702),"",OFFSET('Smelter Reference List'!$D$4,$S702-4,0)&amp;"")</f>
        <v/>
      </c>
      <c r="F702" s="292" t="str">
        <f ca="1">IF(ISERROR($S702),"",OFFSET('Smelter Reference List'!$E$4,$S702-4,0))</f>
        <v/>
      </c>
      <c r="G702" s="292" t="str">
        <f ca="1">IF(C702=$U$4,"Enter smelter details", IF(ISERROR($S702),"",OFFSET('Smelter Reference List'!$F$4,$S702-4,0)))</f>
        <v/>
      </c>
      <c r="H702" s="293" t="str">
        <f ca="1">IF(ISERROR($S702),"",OFFSET('Smelter Reference List'!$G$4,$S702-4,0))</f>
        <v/>
      </c>
      <c r="I702" s="294" t="str">
        <f ca="1">IF(ISERROR($S702),"",OFFSET('Smelter Reference List'!$H$4,$S702-4,0))</f>
        <v/>
      </c>
      <c r="J702" s="294" t="str">
        <f ca="1">IF(ISERROR($S702),"",OFFSET('Smelter Reference List'!$I$4,$S702-4,0))</f>
        <v/>
      </c>
      <c r="K702" s="295"/>
      <c r="L702" s="295"/>
      <c r="M702" s="295"/>
      <c r="N702" s="295"/>
      <c r="O702" s="295"/>
      <c r="P702" s="295"/>
      <c r="Q702" s="296"/>
      <c r="R702" s="227"/>
      <c r="S702" s="228" t="e">
        <f>IF(C702="",NA(),MATCH($B702&amp;$C702,'Smelter Reference List'!$J:$J,0))</f>
        <v>#N/A</v>
      </c>
      <c r="T702" s="229"/>
      <c r="U702" s="229">
        <f t="shared" ca="1" si="22"/>
        <v>0</v>
      </c>
      <c r="V702" s="229"/>
      <c r="W702" s="229"/>
      <c r="Y702" s="223" t="str">
        <f t="shared" si="23"/>
        <v/>
      </c>
    </row>
    <row r="703" spans="1:25" s="223" customFormat="1" ht="20.25">
      <c r="A703" s="291"/>
      <c r="B703" s="292" t="str">
        <f>IF(LEN(A703)=0,"",INDEX('Smelter Reference List'!$A:$A,MATCH($A703,'Smelter Reference List'!$E:$E,0)))</f>
        <v/>
      </c>
      <c r="C703" s="298" t="str">
        <f>IF(LEN(A703)=0,"",INDEX('Smelter Reference List'!$C:$C,MATCH($A703,'Smelter Reference List'!$E:$E,0)))</f>
        <v/>
      </c>
      <c r="D703" s="292" t="str">
        <f ca="1">IF(ISERROR($S703),"",OFFSET('Smelter Reference List'!$C$4,$S703-4,0)&amp;"")</f>
        <v/>
      </c>
      <c r="E703" s="292" t="str">
        <f ca="1">IF(ISERROR($S703),"",OFFSET('Smelter Reference List'!$D$4,$S703-4,0)&amp;"")</f>
        <v/>
      </c>
      <c r="F703" s="292" t="str">
        <f ca="1">IF(ISERROR($S703),"",OFFSET('Smelter Reference List'!$E$4,$S703-4,0))</f>
        <v/>
      </c>
      <c r="G703" s="292" t="str">
        <f ca="1">IF(C703=$U$4,"Enter smelter details", IF(ISERROR($S703),"",OFFSET('Smelter Reference List'!$F$4,$S703-4,0)))</f>
        <v/>
      </c>
      <c r="H703" s="293" t="str">
        <f ca="1">IF(ISERROR($S703),"",OFFSET('Smelter Reference List'!$G$4,$S703-4,0))</f>
        <v/>
      </c>
      <c r="I703" s="294" t="str">
        <f ca="1">IF(ISERROR($S703),"",OFFSET('Smelter Reference List'!$H$4,$S703-4,0))</f>
        <v/>
      </c>
      <c r="J703" s="294" t="str">
        <f ca="1">IF(ISERROR($S703),"",OFFSET('Smelter Reference List'!$I$4,$S703-4,0))</f>
        <v/>
      </c>
      <c r="K703" s="295"/>
      <c r="L703" s="295"/>
      <c r="M703" s="295"/>
      <c r="N703" s="295"/>
      <c r="O703" s="295"/>
      <c r="P703" s="295"/>
      <c r="Q703" s="296"/>
      <c r="R703" s="227"/>
      <c r="S703" s="228" t="e">
        <f>IF(C703="",NA(),MATCH($B703&amp;$C703,'Smelter Reference List'!$J:$J,0))</f>
        <v>#N/A</v>
      </c>
      <c r="T703" s="229"/>
      <c r="U703" s="229">
        <f t="shared" ca="1" si="22"/>
        <v>0</v>
      </c>
      <c r="V703" s="229"/>
      <c r="W703" s="229"/>
      <c r="Y703" s="223" t="str">
        <f t="shared" si="23"/>
        <v/>
      </c>
    </row>
    <row r="704" spans="1:25" s="223" customFormat="1" ht="20.25">
      <c r="A704" s="291"/>
      <c r="B704" s="292" t="str">
        <f>IF(LEN(A704)=0,"",INDEX('Smelter Reference List'!$A:$A,MATCH($A704,'Smelter Reference List'!$E:$E,0)))</f>
        <v/>
      </c>
      <c r="C704" s="298" t="str">
        <f>IF(LEN(A704)=0,"",INDEX('Smelter Reference List'!$C:$C,MATCH($A704,'Smelter Reference List'!$E:$E,0)))</f>
        <v/>
      </c>
      <c r="D704" s="292" t="str">
        <f ca="1">IF(ISERROR($S704),"",OFFSET('Smelter Reference List'!$C$4,$S704-4,0)&amp;"")</f>
        <v/>
      </c>
      <c r="E704" s="292" t="str">
        <f ca="1">IF(ISERROR($S704),"",OFFSET('Smelter Reference List'!$D$4,$S704-4,0)&amp;"")</f>
        <v/>
      </c>
      <c r="F704" s="292" t="str">
        <f ca="1">IF(ISERROR($S704),"",OFFSET('Smelter Reference List'!$E$4,$S704-4,0))</f>
        <v/>
      </c>
      <c r="G704" s="292" t="str">
        <f ca="1">IF(C704=$U$4,"Enter smelter details", IF(ISERROR($S704),"",OFFSET('Smelter Reference List'!$F$4,$S704-4,0)))</f>
        <v/>
      </c>
      <c r="H704" s="293" t="str">
        <f ca="1">IF(ISERROR($S704),"",OFFSET('Smelter Reference List'!$G$4,$S704-4,0))</f>
        <v/>
      </c>
      <c r="I704" s="294" t="str">
        <f ca="1">IF(ISERROR($S704),"",OFFSET('Smelter Reference List'!$H$4,$S704-4,0))</f>
        <v/>
      </c>
      <c r="J704" s="294" t="str">
        <f ca="1">IF(ISERROR($S704),"",OFFSET('Smelter Reference List'!$I$4,$S704-4,0))</f>
        <v/>
      </c>
      <c r="K704" s="295"/>
      <c r="L704" s="295"/>
      <c r="M704" s="295"/>
      <c r="N704" s="295"/>
      <c r="O704" s="295"/>
      <c r="P704" s="295"/>
      <c r="Q704" s="296"/>
      <c r="R704" s="227"/>
      <c r="S704" s="228" t="e">
        <f>IF(C704="",NA(),MATCH($B704&amp;$C704,'Smelter Reference List'!$J:$J,0))</f>
        <v>#N/A</v>
      </c>
      <c r="T704" s="229"/>
      <c r="U704" s="229">
        <f t="shared" ca="1" si="22"/>
        <v>0</v>
      </c>
      <c r="V704" s="229"/>
      <c r="W704" s="229"/>
      <c r="Y704" s="223" t="str">
        <f t="shared" si="23"/>
        <v/>
      </c>
    </row>
    <row r="705" spans="1:25" s="223" customFormat="1" ht="20.25">
      <c r="A705" s="291"/>
      <c r="B705" s="292" t="str">
        <f>IF(LEN(A705)=0,"",INDEX('Smelter Reference List'!$A:$A,MATCH($A705,'Smelter Reference List'!$E:$E,0)))</f>
        <v/>
      </c>
      <c r="C705" s="298" t="str">
        <f>IF(LEN(A705)=0,"",INDEX('Smelter Reference List'!$C:$C,MATCH($A705,'Smelter Reference List'!$E:$E,0)))</f>
        <v/>
      </c>
      <c r="D705" s="292" t="str">
        <f ca="1">IF(ISERROR($S705),"",OFFSET('Smelter Reference List'!$C$4,$S705-4,0)&amp;"")</f>
        <v/>
      </c>
      <c r="E705" s="292" t="str">
        <f ca="1">IF(ISERROR($S705),"",OFFSET('Smelter Reference List'!$D$4,$S705-4,0)&amp;"")</f>
        <v/>
      </c>
      <c r="F705" s="292" t="str">
        <f ca="1">IF(ISERROR($S705),"",OFFSET('Smelter Reference List'!$E$4,$S705-4,0))</f>
        <v/>
      </c>
      <c r="G705" s="292" t="str">
        <f ca="1">IF(C705=$U$4,"Enter smelter details", IF(ISERROR($S705),"",OFFSET('Smelter Reference List'!$F$4,$S705-4,0)))</f>
        <v/>
      </c>
      <c r="H705" s="293" t="str">
        <f ca="1">IF(ISERROR($S705),"",OFFSET('Smelter Reference List'!$G$4,$S705-4,0))</f>
        <v/>
      </c>
      <c r="I705" s="294" t="str">
        <f ca="1">IF(ISERROR($S705),"",OFFSET('Smelter Reference List'!$H$4,$S705-4,0))</f>
        <v/>
      </c>
      <c r="J705" s="294" t="str">
        <f ca="1">IF(ISERROR($S705),"",OFFSET('Smelter Reference List'!$I$4,$S705-4,0))</f>
        <v/>
      </c>
      <c r="K705" s="295"/>
      <c r="L705" s="295"/>
      <c r="M705" s="295"/>
      <c r="N705" s="295"/>
      <c r="O705" s="295"/>
      <c r="P705" s="295"/>
      <c r="Q705" s="296"/>
      <c r="R705" s="227"/>
      <c r="S705" s="228" t="e">
        <f>IF(C705="",NA(),MATCH($B705&amp;$C705,'Smelter Reference List'!$J:$J,0))</f>
        <v>#N/A</v>
      </c>
      <c r="T705" s="229"/>
      <c r="U705" s="229">
        <f t="shared" ca="1" si="22"/>
        <v>0</v>
      </c>
      <c r="V705" s="229"/>
      <c r="W705" s="229"/>
      <c r="Y705" s="223" t="str">
        <f t="shared" si="23"/>
        <v/>
      </c>
    </row>
    <row r="706" spans="1:25" s="223" customFormat="1" ht="20.25">
      <c r="A706" s="291"/>
      <c r="B706" s="292" t="str">
        <f>IF(LEN(A706)=0,"",INDEX('Smelter Reference List'!$A:$A,MATCH($A706,'Smelter Reference List'!$E:$E,0)))</f>
        <v/>
      </c>
      <c r="C706" s="298" t="str">
        <f>IF(LEN(A706)=0,"",INDEX('Smelter Reference List'!$C:$C,MATCH($A706,'Smelter Reference List'!$E:$E,0)))</f>
        <v/>
      </c>
      <c r="D706" s="292" t="str">
        <f ca="1">IF(ISERROR($S706),"",OFFSET('Smelter Reference List'!$C$4,$S706-4,0)&amp;"")</f>
        <v/>
      </c>
      <c r="E706" s="292" t="str">
        <f ca="1">IF(ISERROR($S706),"",OFFSET('Smelter Reference List'!$D$4,$S706-4,0)&amp;"")</f>
        <v/>
      </c>
      <c r="F706" s="292" t="str">
        <f ca="1">IF(ISERROR($S706),"",OFFSET('Smelter Reference List'!$E$4,$S706-4,0))</f>
        <v/>
      </c>
      <c r="G706" s="292" t="str">
        <f ca="1">IF(C706=$U$4,"Enter smelter details", IF(ISERROR($S706),"",OFFSET('Smelter Reference List'!$F$4,$S706-4,0)))</f>
        <v/>
      </c>
      <c r="H706" s="293" t="str">
        <f ca="1">IF(ISERROR($S706),"",OFFSET('Smelter Reference List'!$G$4,$S706-4,0))</f>
        <v/>
      </c>
      <c r="I706" s="294" t="str">
        <f ca="1">IF(ISERROR($S706),"",OFFSET('Smelter Reference List'!$H$4,$S706-4,0))</f>
        <v/>
      </c>
      <c r="J706" s="294" t="str">
        <f ca="1">IF(ISERROR($S706),"",OFFSET('Smelter Reference List'!$I$4,$S706-4,0))</f>
        <v/>
      </c>
      <c r="K706" s="295"/>
      <c r="L706" s="295"/>
      <c r="M706" s="295"/>
      <c r="N706" s="295"/>
      <c r="O706" s="295"/>
      <c r="P706" s="295"/>
      <c r="Q706" s="296"/>
      <c r="R706" s="227"/>
      <c r="S706" s="228" t="e">
        <f>IF(C706="",NA(),MATCH($B706&amp;$C706,'Smelter Reference List'!$J:$J,0))</f>
        <v>#N/A</v>
      </c>
      <c r="T706" s="229"/>
      <c r="U706" s="229">
        <f t="shared" ca="1" si="22"/>
        <v>0</v>
      </c>
      <c r="V706" s="229"/>
      <c r="W706" s="229"/>
      <c r="Y706" s="223" t="str">
        <f t="shared" si="23"/>
        <v/>
      </c>
    </row>
    <row r="707" spans="1:25" s="223" customFormat="1" ht="20.25">
      <c r="A707" s="291"/>
      <c r="B707" s="292" t="str">
        <f>IF(LEN(A707)=0,"",INDEX('Smelter Reference List'!$A:$A,MATCH($A707,'Smelter Reference List'!$E:$E,0)))</f>
        <v/>
      </c>
      <c r="C707" s="298" t="str">
        <f>IF(LEN(A707)=0,"",INDEX('Smelter Reference List'!$C:$C,MATCH($A707,'Smelter Reference List'!$E:$E,0)))</f>
        <v/>
      </c>
      <c r="D707" s="292" t="str">
        <f ca="1">IF(ISERROR($S707),"",OFFSET('Smelter Reference List'!$C$4,$S707-4,0)&amp;"")</f>
        <v/>
      </c>
      <c r="E707" s="292" t="str">
        <f ca="1">IF(ISERROR($S707),"",OFFSET('Smelter Reference List'!$D$4,$S707-4,0)&amp;"")</f>
        <v/>
      </c>
      <c r="F707" s="292" t="str">
        <f ca="1">IF(ISERROR($S707),"",OFFSET('Smelter Reference List'!$E$4,$S707-4,0))</f>
        <v/>
      </c>
      <c r="G707" s="292" t="str">
        <f ca="1">IF(C707=$U$4,"Enter smelter details", IF(ISERROR($S707),"",OFFSET('Smelter Reference List'!$F$4,$S707-4,0)))</f>
        <v/>
      </c>
      <c r="H707" s="293" t="str">
        <f ca="1">IF(ISERROR($S707),"",OFFSET('Smelter Reference List'!$G$4,$S707-4,0))</f>
        <v/>
      </c>
      <c r="I707" s="294" t="str">
        <f ca="1">IF(ISERROR($S707),"",OFFSET('Smelter Reference List'!$H$4,$S707-4,0))</f>
        <v/>
      </c>
      <c r="J707" s="294" t="str">
        <f ca="1">IF(ISERROR($S707),"",OFFSET('Smelter Reference List'!$I$4,$S707-4,0))</f>
        <v/>
      </c>
      <c r="K707" s="295"/>
      <c r="L707" s="295"/>
      <c r="M707" s="295"/>
      <c r="N707" s="295"/>
      <c r="O707" s="295"/>
      <c r="P707" s="295"/>
      <c r="Q707" s="296"/>
      <c r="R707" s="227"/>
      <c r="S707" s="228" t="e">
        <f>IF(C707="",NA(),MATCH($B707&amp;$C707,'Smelter Reference List'!$J:$J,0))</f>
        <v>#N/A</v>
      </c>
      <c r="T707" s="229"/>
      <c r="U707" s="229">
        <f t="shared" ca="1" si="22"/>
        <v>0</v>
      </c>
      <c r="V707" s="229"/>
      <c r="W707" s="229"/>
      <c r="Y707" s="223" t="str">
        <f t="shared" si="23"/>
        <v/>
      </c>
    </row>
    <row r="708" spans="1:25" s="223" customFormat="1" ht="20.25">
      <c r="A708" s="291"/>
      <c r="B708" s="292" t="str">
        <f>IF(LEN(A708)=0,"",INDEX('Smelter Reference List'!$A:$A,MATCH($A708,'Smelter Reference List'!$E:$E,0)))</f>
        <v/>
      </c>
      <c r="C708" s="298" t="str">
        <f>IF(LEN(A708)=0,"",INDEX('Smelter Reference List'!$C:$C,MATCH($A708,'Smelter Reference List'!$E:$E,0)))</f>
        <v/>
      </c>
      <c r="D708" s="292" t="str">
        <f ca="1">IF(ISERROR($S708),"",OFFSET('Smelter Reference List'!$C$4,$S708-4,0)&amp;"")</f>
        <v/>
      </c>
      <c r="E708" s="292" t="str">
        <f ca="1">IF(ISERROR($S708),"",OFFSET('Smelter Reference List'!$D$4,$S708-4,0)&amp;"")</f>
        <v/>
      </c>
      <c r="F708" s="292" t="str">
        <f ca="1">IF(ISERROR($S708),"",OFFSET('Smelter Reference List'!$E$4,$S708-4,0))</f>
        <v/>
      </c>
      <c r="G708" s="292" t="str">
        <f ca="1">IF(C708=$U$4,"Enter smelter details", IF(ISERROR($S708),"",OFFSET('Smelter Reference List'!$F$4,$S708-4,0)))</f>
        <v/>
      </c>
      <c r="H708" s="293" t="str">
        <f ca="1">IF(ISERROR($S708),"",OFFSET('Smelter Reference List'!$G$4,$S708-4,0))</f>
        <v/>
      </c>
      <c r="I708" s="294" t="str">
        <f ca="1">IF(ISERROR($S708),"",OFFSET('Smelter Reference List'!$H$4,$S708-4,0))</f>
        <v/>
      </c>
      <c r="J708" s="294" t="str">
        <f ca="1">IF(ISERROR($S708),"",OFFSET('Smelter Reference List'!$I$4,$S708-4,0))</f>
        <v/>
      </c>
      <c r="K708" s="295"/>
      <c r="L708" s="295"/>
      <c r="M708" s="295"/>
      <c r="N708" s="295"/>
      <c r="O708" s="295"/>
      <c r="P708" s="295"/>
      <c r="Q708" s="296"/>
      <c r="R708" s="227"/>
      <c r="S708" s="228" t="e">
        <f>IF(C708="",NA(),MATCH($B708&amp;$C708,'Smelter Reference List'!$J:$J,0))</f>
        <v>#N/A</v>
      </c>
      <c r="T708" s="229"/>
      <c r="U708" s="229">
        <f t="shared" ca="1" si="22"/>
        <v>0</v>
      </c>
      <c r="V708" s="229"/>
      <c r="W708" s="229"/>
      <c r="Y708" s="223" t="str">
        <f t="shared" si="23"/>
        <v/>
      </c>
    </row>
    <row r="709" spans="1:25" s="223" customFormat="1" ht="20.25">
      <c r="A709" s="291"/>
      <c r="B709" s="292" t="str">
        <f>IF(LEN(A709)=0,"",INDEX('Smelter Reference List'!$A:$A,MATCH($A709,'Smelter Reference List'!$E:$E,0)))</f>
        <v/>
      </c>
      <c r="C709" s="298" t="str">
        <f>IF(LEN(A709)=0,"",INDEX('Smelter Reference List'!$C:$C,MATCH($A709,'Smelter Reference List'!$E:$E,0)))</f>
        <v/>
      </c>
      <c r="D709" s="292" t="str">
        <f ca="1">IF(ISERROR($S709),"",OFFSET('Smelter Reference List'!$C$4,$S709-4,0)&amp;"")</f>
        <v/>
      </c>
      <c r="E709" s="292" t="str">
        <f ca="1">IF(ISERROR($S709),"",OFFSET('Smelter Reference List'!$D$4,$S709-4,0)&amp;"")</f>
        <v/>
      </c>
      <c r="F709" s="292" t="str">
        <f ca="1">IF(ISERROR($S709),"",OFFSET('Smelter Reference List'!$E$4,$S709-4,0))</f>
        <v/>
      </c>
      <c r="G709" s="292" t="str">
        <f ca="1">IF(C709=$U$4,"Enter smelter details", IF(ISERROR($S709),"",OFFSET('Smelter Reference List'!$F$4,$S709-4,0)))</f>
        <v/>
      </c>
      <c r="H709" s="293" t="str">
        <f ca="1">IF(ISERROR($S709),"",OFFSET('Smelter Reference List'!$G$4,$S709-4,0))</f>
        <v/>
      </c>
      <c r="I709" s="294" t="str">
        <f ca="1">IF(ISERROR($S709),"",OFFSET('Smelter Reference List'!$H$4,$S709-4,0))</f>
        <v/>
      </c>
      <c r="J709" s="294" t="str">
        <f ca="1">IF(ISERROR($S709),"",OFFSET('Smelter Reference List'!$I$4,$S709-4,0))</f>
        <v/>
      </c>
      <c r="K709" s="295"/>
      <c r="L709" s="295"/>
      <c r="M709" s="295"/>
      <c r="N709" s="295"/>
      <c r="O709" s="295"/>
      <c r="P709" s="295"/>
      <c r="Q709" s="296"/>
      <c r="R709" s="227"/>
      <c r="S709" s="228" t="e">
        <f>IF(C709="",NA(),MATCH($B709&amp;$C709,'Smelter Reference List'!$J:$J,0))</f>
        <v>#N/A</v>
      </c>
      <c r="T709" s="229"/>
      <c r="U709" s="229">
        <f t="shared" ref="U709:U772" ca="1" si="24">IF(AND(C709="Smelter not listed",OR(LEN(D709)=0,LEN(E709)=0)),1,0)</f>
        <v>0</v>
      </c>
      <c r="V709" s="229"/>
      <c r="W709" s="229"/>
      <c r="Y709" s="223" t="str">
        <f t="shared" ref="Y709:Y772" si="25">B709&amp;C709</f>
        <v/>
      </c>
    </row>
    <row r="710" spans="1:25" s="223" customFormat="1" ht="20.25">
      <c r="A710" s="291"/>
      <c r="B710" s="292" t="str">
        <f>IF(LEN(A710)=0,"",INDEX('Smelter Reference List'!$A:$A,MATCH($A710,'Smelter Reference List'!$E:$E,0)))</f>
        <v/>
      </c>
      <c r="C710" s="298" t="str">
        <f>IF(LEN(A710)=0,"",INDEX('Smelter Reference List'!$C:$C,MATCH($A710,'Smelter Reference List'!$E:$E,0)))</f>
        <v/>
      </c>
      <c r="D710" s="292" t="str">
        <f ca="1">IF(ISERROR($S710),"",OFFSET('Smelter Reference List'!$C$4,$S710-4,0)&amp;"")</f>
        <v/>
      </c>
      <c r="E710" s="292" t="str">
        <f ca="1">IF(ISERROR($S710),"",OFFSET('Smelter Reference List'!$D$4,$S710-4,0)&amp;"")</f>
        <v/>
      </c>
      <c r="F710" s="292" t="str">
        <f ca="1">IF(ISERROR($S710),"",OFFSET('Smelter Reference List'!$E$4,$S710-4,0))</f>
        <v/>
      </c>
      <c r="G710" s="292" t="str">
        <f ca="1">IF(C710=$U$4,"Enter smelter details", IF(ISERROR($S710),"",OFFSET('Smelter Reference List'!$F$4,$S710-4,0)))</f>
        <v/>
      </c>
      <c r="H710" s="293" t="str">
        <f ca="1">IF(ISERROR($S710),"",OFFSET('Smelter Reference List'!$G$4,$S710-4,0))</f>
        <v/>
      </c>
      <c r="I710" s="294" t="str">
        <f ca="1">IF(ISERROR($S710),"",OFFSET('Smelter Reference List'!$H$4,$S710-4,0))</f>
        <v/>
      </c>
      <c r="J710" s="294" t="str">
        <f ca="1">IF(ISERROR($S710),"",OFFSET('Smelter Reference List'!$I$4,$S710-4,0))</f>
        <v/>
      </c>
      <c r="K710" s="295"/>
      <c r="L710" s="295"/>
      <c r="M710" s="295"/>
      <c r="N710" s="295"/>
      <c r="O710" s="295"/>
      <c r="P710" s="295"/>
      <c r="Q710" s="296"/>
      <c r="R710" s="227"/>
      <c r="S710" s="228" t="e">
        <f>IF(C710="",NA(),MATCH($B710&amp;$C710,'Smelter Reference List'!$J:$J,0))</f>
        <v>#N/A</v>
      </c>
      <c r="T710" s="229"/>
      <c r="U710" s="229">
        <f t="shared" ca="1" si="24"/>
        <v>0</v>
      </c>
      <c r="V710" s="229"/>
      <c r="W710" s="229"/>
      <c r="Y710" s="223" t="str">
        <f t="shared" si="25"/>
        <v/>
      </c>
    </row>
    <row r="711" spans="1:25" s="223" customFormat="1" ht="20.25">
      <c r="A711" s="291"/>
      <c r="B711" s="292" t="str">
        <f>IF(LEN(A711)=0,"",INDEX('Smelter Reference List'!$A:$A,MATCH($A711,'Smelter Reference List'!$E:$E,0)))</f>
        <v/>
      </c>
      <c r="C711" s="298" t="str">
        <f>IF(LEN(A711)=0,"",INDEX('Smelter Reference List'!$C:$C,MATCH($A711,'Smelter Reference List'!$E:$E,0)))</f>
        <v/>
      </c>
      <c r="D711" s="292" t="str">
        <f ca="1">IF(ISERROR($S711),"",OFFSET('Smelter Reference List'!$C$4,$S711-4,0)&amp;"")</f>
        <v/>
      </c>
      <c r="E711" s="292" t="str">
        <f ca="1">IF(ISERROR($S711),"",OFFSET('Smelter Reference List'!$D$4,$S711-4,0)&amp;"")</f>
        <v/>
      </c>
      <c r="F711" s="292" t="str">
        <f ca="1">IF(ISERROR($S711),"",OFFSET('Smelter Reference List'!$E$4,$S711-4,0))</f>
        <v/>
      </c>
      <c r="G711" s="292" t="str">
        <f ca="1">IF(C711=$U$4,"Enter smelter details", IF(ISERROR($S711),"",OFFSET('Smelter Reference List'!$F$4,$S711-4,0)))</f>
        <v/>
      </c>
      <c r="H711" s="293" t="str">
        <f ca="1">IF(ISERROR($S711),"",OFFSET('Smelter Reference List'!$G$4,$S711-4,0))</f>
        <v/>
      </c>
      <c r="I711" s="294" t="str">
        <f ca="1">IF(ISERROR($S711),"",OFFSET('Smelter Reference List'!$H$4,$S711-4,0))</f>
        <v/>
      </c>
      <c r="J711" s="294" t="str">
        <f ca="1">IF(ISERROR($S711),"",OFFSET('Smelter Reference List'!$I$4,$S711-4,0))</f>
        <v/>
      </c>
      <c r="K711" s="295"/>
      <c r="L711" s="295"/>
      <c r="M711" s="295"/>
      <c r="N711" s="295"/>
      <c r="O711" s="295"/>
      <c r="P711" s="295"/>
      <c r="Q711" s="296"/>
      <c r="R711" s="227"/>
      <c r="S711" s="228" t="e">
        <f>IF(C711="",NA(),MATCH($B711&amp;$C711,'Smelter Reference List'!$J:$J,0))</f>
        <v>#N/A</v>
      </c>
      <c r="T711" s="229"/>
      <c r="U711" s="229">
        <f t="shared" ca="1" si="24"/>
        <v>0</v>
      </c>
      <c r="V711" s="229"/>
      <c r="W711" s="229"/>
      <c r="Y711" s="223" t="str">
        <f t="shared" si="25"/>
        <v/>
      </c>
    </row>
    <row r="712" spans="1:25" s="223" customFormat="1" ht="20.25">
      <c r="A712" s="291"/>
      <c r="B712" s="292" t="str">
        <f>IF(LEN(A712)=0,"",INDEX('Smelter Reference List'!$A:$A,MATCH($A712,'Smelter Reference List'!$E:$E,0)))</f>
        <v/>
      </c>
      <c r="C712" s="298" t="str">
        <f>IF(LEN(A712)=0,"",INDEX('Smelter Reference List'!$C:$C,MATCH($A712,'Smelter Reference List'!$E:$E,0)))</f>
        <v/>
      </c>
      <c r="D712" s="292" t="str">
        <f ca="1">IF(ISERROR($S712),"",OFFSET('Smelter Reference List'!$C$4,$S712-4,0)&amp;"")</f>
        <v/>
      </c>
      <c r="E712" s="292" t="str">
        <f ca="1">IF(ISERROR($S712),"",OFFSET('Smelter Reference List'!$D$4,$S712-4,0)&amp;"")</f>
        <v/>
      </c>
      <c r="F712" s="292" t="str">
        <f ca="1">IF(ISERROR($S712),"",OFFSET('Smelter Reference List'!$E$4,$S712-4,0))</f>
        <v/>
      </c>
      <c r="G712" s="292" t="str">
        <f ca="1">IF(C712=$U$4,"Enter smelter details", IF(ISERROR($S712),"",OFFSET('Smelter Reference List'!$F$4,$S712-4,0)))</f>
        <v/>
      </c>
      <c r="H712" s="293" t="str">
        <f ca="1">IF(ISERROR($S712),"",OFFSET('Smelter Reference List'!$G$4,$S712-4,0))</f>
        <v/>
      </c>
      <c r="I712" s="294" t="str">
        <f ca="1">IF(ISERROR($S712),"",OFFSET('Smelter Reference List'!$H$4,$S712-4,0))</f>
        <v/>
      </c>
      <c r="J712" s="294" t="str">
        <f ca="1">IF(ISERROR($S712),"",OFFSET('Smelter Reference List'!$I$4,$S712-4,0))</f>
        <v/>
      </c>
      <c r="K712" s="295"/>
      <c r="L712" s="295"/>
      <c r="M712" s="295"/>
      <c r="N712" s="295"/>
      <c r="O712" s="295"/>
      <c r="P712" s="295"/>
      <c r="Q712" s="296"/>
      <c r="R712" s="227"/>
      <c r="S712" s="228" t="e">
        <f>IF(C712="",NA(),MATCH($B712&amp;$C712,'Smelter Reference List'!$J:$J,0))</f>
        <v>#N/A</v>
      </c>
      <c r="T712" s="229"/>
      <c r="U712" s="229">
        <f t="shared" ca="1" si="24"/>
        <v>0</v>
      </c>
      <c r="V712" s="229"/>
      <c r="W712" s="229"/>
      <c r="Y712" s="223" t="str">
        <f t="shared" si="25"/>
        <v/>
      </c>
    </row>
    <row r="713" spans="1:25" s="223" customFormat="1" ht="20.25">
      <c r="A713" s="291"/>
      <c r="B713" s="292" t="str">
        <f>IF(LEN(A713)=0,"",INDEX('Smelter Reference List'!$A:$A,MATCH($A713,'Smelter Reference List'!$E:$E,0)))</f>
        <v/>
      </c>
      <c r="C713" s="298" t="str">
        <f>IF(LEN(A713)=0,"",INDEX('Smelter Reference List'!$C:$C,MATCH($A713,'Smelter Reference List'!$E:$E,0)))</f>
        <v/>
      </c>
      <c r="D713" s="292" t="str">
        <f ca="1">IF(ISERROR($S713),"",OFFSET('Smelter Reference List'!$C$4,$S713-4,0)&amp;"")</f>
        <v/>
      </c>
      <c r="E713" s="292" t="str">
        <f ca="1">IF(ISERROR($S713),"",OFFSET('Smelter Reference List'!$D$4,$S713-4,0)&amp;"")</f>
        <v/>
      </c>
      <c r="F713" s="292" t="str">
        <f ca="1">IF(ISERROR($S713),"",OFFSET('Smelter Reference List'!$E$4,$S713-4,0))</f>
        <v/>
      </c>
      <c r="G713" s="292" t="str">
        <f ca="1">IF(C713=$U$4,"Enter smelter details", IF(ISERROR($S713),"",OFFSET('Smelter Reference List'!$F$4,$S713-4,0)))</f>
        <v/>
      </c>
      <c r="H713" s="293" t="str">
        <f ca="1">IF(ISERROR($S713),"",OFFSET('Smelter Reference List'!$G$4,$S713-4,0))</f>
        <v/>
      </c>
      <c r="I713" s="294" t="str">
        <f ca="1">IF(ISERROR($S713),"",OFFSET('Smelter Reference List'!$H$4,$S713-4,0))</f>
        <v/>
      </c>
      <c r="J713" s="294" t="str">
        <f ca="1">IF(ISERROR($S713),"",OFFSET('Smelter Reference List'!$I$4,$S713-4,0))</f>
        <v/>
      </c>
      <c r="K713" s="295"/>
      <c r="L713" s="295"/>
      <c r="M713" s="295"/>
      <c r="N713" s="295"/>
      <c r="O713" s="295"/>
      <c r="P713" s="295"/>
      <c r="Q713" s="296"/>
      <c r="R713" s="227"/>
      <c r="S713" s="228" t="e">
        <f>IF(C713="",NA(),MATCH($B713&amp;$C713,'Smelter Reference List'!$J:$J,0))</f>
        <v>#N/A</v>
      </c>
      <c r="T713" s="229"/>
      <c r="U713" s="229">
        <f t="shared" ca="1" si="24"/>
        <v>0</v>
      </c>
      <c r="V713" s="229"/>
      <c r="W713" s="229"/>
      <c r="Y713" s="223" t="str">
        <f t="shared" si="25"/>
        <v/>
      </c>
    </row>
    <row r="714" spans="1:25" s="223" customFormat="1" ht="20.25">
      <c r="A714" s="291"/>
      <c r="B714" s="292" t="str">
        <f>IF(LEN(A714)=0,"",INDEX('Smelter Reference List'!$A:$A,MATCH($A714,'Smelter Reference List'!$E:$E,0)))</f>
        <v/>
      </c>
      <c r="C714" s="298" t="str">
        <f>IF(LEN(A714)=0,"",INDEX('Smelter Reference List'!$C:$C,MATCH($A714,'Smelter Reference List'!$E:$E,0)))</f>
        <v/>
      </c>
      <c r="D714" s="292" t="str">
        <f ca="1">IF(ISERROR($S714),"",OFFSET('Smelter Reference List'!$C$4,$S714-4,0)&amp;"")</f>
        <v/>
      </c>
      <c r="E714" s="292" t="str">
        <f ca="1">IF(ISERROR($S714),"",OFFSET('Smelter Reference List'!$D$4,$S714-4,0)&amp;"")</f>
        <v/>
      </c>
      <c r="F714" s="292" t="str">
        <f ca="1">IF(ISERROR($S714),"",OFFSET('Smelter Reference List'!$E$4,$S714-4,0))</f>
        <v/>
      </c>
      <c r="G714" s="292" t="str">
        <f ca="1">IF(C714=$U$4,"Enter smelter details", IF(ISERROR($S714),"",OFFSET('Smelter Reference List'!$F$4,$S714-4,0)))</f>
        <v/>
      </c>
      <c r="H714" s="293" t="str">
        <f ca="1">IF(ISERROR($S714),"",OFFSET('Smelter Reference List'!$G$4,$S714-4,0))</f>
        <v/>
      </c>
      <c r="I714" s="294" t="str">
        <f ca="1">IF(ISERROR($S714),"",OFFSET('Smelter Reference List'!$H$4,$S714-4,0))</f>
        <v/>
      </c>
      <c r="J714" s="294" t="str">
        <f ca="1">IF(ISERROR($S714),"",OFFSET('Smelter Reference List'!$I$4,$S714-4,0))</f>
        <v/>
      </c>
      <c r="K714" s="295"/>
      <c r="L714" s="295"/>
      <c r="M714" s="295"/>
      <c r="N714" s="295"/>
      <c r="O714" s="295"/>
      <c r="P714" s="295"/>
      <c r="Q714" s="296"/>
      <c r="R714" s="227"/>
      <c r="S714" s="228" t="e">
        <f>IF(C714="",NA(),MATCH($B714&amp;$C714,'Smelter Reference List'!$J:$J,0))</f>
        <v>#N/A</v>
      </c>
      <c r="T714" s="229"/>
      <c r="U714" s="229">
        <f t="shared" ca="1" si="24"/>
        <v>0</v>
      </c>
      <c r="V714" s="229"/>
      <c r="W714" s="229"/>
      <c r="Y714" s="223" t="str">
        <f t="shared" si="25"/>
        <v/>
      </c>
    </row>
    <row r="715" spans="1:25" s="223" customFormat="1" ht="20.25">
      <c r="A715" s="291"/>
      <c r="B715" s="292" t="str">
        <f>IF(LEN(A715)=0,"",INDEX('Smelter Reference List'!$A:$A,MATCH($A715,'Smelter Reference List'!$E:$E,0)))</f>
        <v/>
      </c>
      <c r="C715" s="298" t="str">
        <f>IF(LEN(A715)=0,"",INDEX('Smelter Reference List'!$C:$C,MATCH($A715,'Smelter Reference List'!$E:$E,0)))</f>
        <v/>
      </c>
      <c r="D715" s="292" t="str">
        <f ca="1">IF(ISERROR($S715),"",OFFSET('Smelter Reference List'!$C$4,$S715-4,0)&amp;"")</f>
        <v/>
      </c>
      <c r="E715" s="292" t="str">
        <f ca="1">IF(ISERROR($S715),"",OFFSET('Smelter Reference List'!$D$4,$S715-4,0)&amp;"")</f>
        <v/>
      </c>
      <c r="F715" s="292" t="str">
        <f ca="1">IF(ISERROR($S715),"",OFFSET('Smelter Reference List'!$E$4,$S715-4,0))</f>
        <v/>
      </c>
      <c r="G715" s="292" t="str">
        <f ca="1">IF(C715=$U$4,"Enter smelter details", IF(ISERROR($S715),"",OFFSET('Smelter Reference List'!$F$4,$S715-4,0)))</f>
        <v/>
      </c>
      <c r="H715" s="293" t="str">
        <f ca="1">IF(ISERROR($S715),"",OFFSET('Smelter Reference List'!$G$4,$S715-4,0))</f>
        <v/>
      </c>
      <c r="I715" s="294" t="str">
        <f ca="1">IF(ISERROR($S715),"",OFFSET('Smelter Reference List'!$H$4,$S715-4,0))</f>
        <v/>
      </c>
      <c r="J715" s="294" t="str">
        <f ca="1">IF(ISERROR($S715),"",OFFSET('Smelter Reference List'!$I$4,$S715-4,0))</f>
        <v/>
      </c>
      <c r="K715" s="295"/>
      <c r="L715" s="295"/>
      <c r="M715" s="295"/>
      <c r="N715" s="295"/>
      <c r="O715" s="295"/>
      <c r="P715" s="295"/>
      <c r="Q715" s="296"/>
      <c r="R715" s="227"/>
      <c r="S715" s="228" t="e">
        <f>IF(C715="",NA(),MATCH($B715&amp;$C715,'Smelter Reference List'!$J:$J,0))</f>
        <v>#N/A</v>
      </c>
      <c r="T715" s="229"/>
      <c r="U715" s="229">
        <f t="shared" ca="1" si="24"/>
        <v>0</v>
      </c>
      <c r="V715" s="229"/>
      <c r="W715" s="229"/>
      <c r="Y715" s="223" t="str">
        <f t="shared" si="25"/>
        <v/>
      </c>
    </row>
    <row r="716" spans="1:25" s="223" customFormat="1" ht="20.25">
      <c r="A716" s="291"/>
      <c r="B716" s="292" t="str">
        <f>IF(LEN(A716)=0,"",INDEX('Smelter Reference List'!$A:$A,MATCH($A716,'Smelter Reference List'!$E:$E,0)))</f>
        <v/>
      </c>
      <c r="C716" s="298" t="str">
        <f>IF(LEN(A716)=0,"",INDEX('Smelter Reference List'!$C:$C,MATCH($A716,'Smelter Reference List'!$E:$E,0)))</f>
        <v/>
      </c>
      <c r="D716" s="292" t="str">
        <f ca="1">IF(ISERROR($S716),"",OFFSET('Smelter Reference List'!$C$4,$S716-4,0)&amp;"")</f>
        <v/>
      </c>
      <c r="E716" s="292" t="str">
        <f ca="1">IF(ISERROR($S716),"",OFFSET('Smelter Reference List'!$D$4,$S716-4,0)&amp;"")</f>
        <v/>
      </c>
      <c r="F716" s="292" t="str">
        <f ca="1">IF(ISERROR($S716),"",OFFSET('Smelter Reference List'!$E$4,$S716-4,0))</f>
        <v/>
      </c>
      <c r="G716" s="292" t="str">
        <f ca="1">IF(C716=$U$4,"Enter smelter details", IF(ISERROR($S716),"",OFFSET('Smelter Reference List'!$F$4,$S716-4,0)))</f>
        <v/>
      </c>
      <c r="H716" s="293" t="str">
        <f ca="1">IF(ISERROR($S716),"",OFFSET('Smelter Reference List'!$G$4,$S716-4,0))</f>
        <v/>
      </c>
      <c r="I716" s="294" t="str">
        <f ca="1">IF(ISERROR($S716),"",OFFSET('Smelter Reference List'!$H$4,$S716-4,0))</f>
        <v/>
      </c>
      <c r="J716" s="294" t="str">
        <f ca="1">IF(ISERROR($S716),"",OFFSET('Smelter Reference List'!$I$4,$S716-4,0))</f>
        <v/>
      </c>
      <c r="K716" s="295"/>
      <c r="L716" s="295"/>
      <c r="M716" s="295"/>
      <c r="N716" s="295"/>
      <c r="O716" s="295"/>
      <c r="P716" s="295"/>
      <c r="Q716" s="296"/>
      <c r="R716" s="227"/>
      <c r="S716" s="228" t="e">
        <f>IF(C716="",NA(),MATCH($B716&amp;$C716,'Smelter Reference List'!$J:$J,0))</f>
        <v>#N/A</v>
      </c>
      <c r="T716" s="229"/>
      <c r="U716" s="229">
        <f t="shared" ca="1" si="24"/>
        <v>0</v>
      </c>
      <c r="V716" s="229"/>
      <c r="W716" s="229"/>
      <c r="Y716" s="223" t="str">
        <f t="shared" si="25"/>
        <v/>
      </c>
    </row>
    <row r="717" spans="1:25" s="223" customFormat="1" ht="20.25">
      <c r="A717" s="291"/>
      <c r="B717" s="292" t="str">
        <f>IF(LEN(A717)=0,"",INDEX('Smelter Reference List'!$A:$A,MATCH($A717,'Smelter Reference List'!$E:$E,0)))</f>
        <v/>
      </c>
      <c r="C717" s="298" t="str">
        <f>IF(LEN(A717)=0,"",INDEX('Smelter Reference List'!$C:$C,MATCH($A717,'Smelter Reference List'!$E:$E,0)))</f>
        <v/>
      </c>
      <c r="D717" s="292" t="str">
        <f ca="1">IF(ISERROR($S717),"",OFFSET('Smelter Reference List'!$C$4,$S717-4,0)&amp;"")</f>
        <v/>
      </c>
      <c r="E717" s="292" t="str">
        <f ca="1">IF(ISERROR($S717),"",OFFSET('Smelter Reference List'!$D$4,$S717-4,0)&amp;"")</f>
        <v/>
      </c>
      <c r="F717" s="292" t="str">
        <f ca="1">IF(ISERROR($S717),"",OFFSET('Smelter Reference List'!$E$4,$S717-4,0))</f>
        <v/>
      </c>
      <c r="G717" s="292" t="str">
        <f ca="1">IF(C717=$U$4,"Enter smelter details", IF(ISERROR($S717),"",OFFSET('Smelter Reference List'!$F$4,$S717-4,0)))</f>
        <v/>
      </c>
      <c r="H717" s="293" t="str">
        <f ca="1">IF(ISERROR($S717),"",OFFSET('Smelter Reference List'!$G$4,$S717-4,0))</f>
        <v/>
      </c>
      <c r="I717" s="294" t="str">
        <f ca="1">IF(ISERROR($S717),"",OFFSET('Smelter Reference List'!$H$4,$S717-4,0))</f>
        <v/>
      </c>
      <c r="J717" s="294" t="str">
        <f ca="1">IF(ISERROR($S717),"",OFFSET('Smelter Reference List'!$I$4,$S717-4,0))</f>
        <v/>
      </c>
      <c r="K717" s="295"/>
      <c r="L717" s="295"/>
      <c r="M717" s="295"/>
      <c r="N717" s="295"/>
      <c r="O717" s="295"/>
      <c r="P717" s="295"/>
      <c r="Q717" s="296"/>
      <c r="R717" s="227"/>
      <c r="S717" s="228" t="e">
        <f>IF(C717="",NA(),MATCH($B717&amp;$C717,'Smelter Reference List'!$J:$J,0))</f>
        <v>#N/A</v>
      </c>
      <c r="T717" s="229"/>
      <c r="U717" s="229">
        <f t="shared" ca="1" si="24"/>
        <v>0</v>
      </c>
      <c r="V717" s="229"/>
      <c r="W717" s="229"/>
      <c r="Y717" s="223" t="str">
        <f t="shared" si="25"/>
        <v/>
      </c>
    </row>
    <row r="718" spans="1:25" s="223" customFormat="1" ht="20.25">
      <c r="A718" s="291"/>
      <c r="B718" s="292" t="str">
        <f>IF(LEN(A718)=0,"",INDEX('Smelter Reference List'!$A:$A,MATCH($A718,'Smelter Reference List'!$E:$E,0)))</f>
        <v/>
      </c>
      <c r="C718" s="298" t="str">
        <f>IF(LEN(A718)=0,"",INDEX('Smelter Reference List'!$C:$C,MATCH($A718,'Smelter Reference List'!$E:$E,0)))</f>
        <v/>
      </c>
      <c r="D718" s="292" t="str">
        <f ca="1">IF(ISERROR($S718),"",OFFSET('Smelter Reference List'!$C$4,$S718-4,0)&amp;"")</f>
        <v/>
      </c>
      <c r="E718" s="292" t="str">
        <f ca="1">IF(ISERROR($S718),"",OFFSET('Smelter Reference List'!$D$4,$S718-4,0)&amp;"")</f>
        <v/>
      </c>
      <c r="F718" s="292" t="str">
        <f ca="1">IF(ISERROR($S718),"",OFFSET('Smelter Reference List'!$E$4,$S718-4,0))</f>
        <v/>
      </c>
      <c r="G718" s="292" t="str">
        <f ca="1">IF(C718=$U$4,"Enter smelter details", IF(ISERROR($S718),"",OFFSET('Smelter Reference List'!$F$4,$S718-4,0)))</f>
        <v/>
      </c>
      <c r="H718" s="293" t="str">
        <f ca="1">IF(ISERROR($S718),"",OFFSET('Smelter Reference List'!$G$4,$S718-4,0))</f>
        <v/>
      </c>
      <c r="I718" s="294" t="str">
        <f ca="1">IF(ISERROR($S718),"",OFFSET('Smelter Reference List'!$H$4,$S718-4,0))</f>
        <v/>
      </c>
      <c r="J718" s="294" t="str">
        <f ca="1">IF(ISERROR($S718),"",OFFSET('Smelter Reference List'!$I$4,$S718-4,0))</f>
        <v/>
      </c>
      <c r="K718" s="295"/>
      <c r="L718" s="295"/>
      <c r="M718" s="295"/>
      <c r="N718" s="295"/>
      <c r="O718" s="295"/>
      <c r="P718" s="295"/>
      <c r="Q718" s="296"/>
      <c r="R718" s="227"/>
      <c r="S718" s="228" t="e">
        <f>IF(C718="",NA(),MATCH($B718&amp;$C718,'Smelter Reference List'!$J:$J,0))</f>
        <v>#N/A</v>
      </c>
      <c r="T718" s="229"/>
      <c r="U718" s="229">
        <f t="shared" ca="1" si="24"/>
        <v>0</v>
      </c>
      <c r="V718" s="229"/>
      <c r="W718" s="229"/>
      <c r="Y718" s="223" t="str">
        <f t="shared" si="25"/>
        <v/>
      </c>
    </row>
    <row r="719" spans="1:25" s="223" customFormat="1" ht="20.25">
      <c r="A719" s="291"/>
      <c r="B719" s="292" t="str">
        <f>IF(LEN(A719)=0,"",INDEX('Smelter Reference List'!$A:$A,MATCH($A719,'Smelter Reference List'!$E:$E,0)))</f>
        <v/>
      </c>
      <c r="C719" s="298" t="str">
        <f>IF(LEN(A719)=0,"",INDEX('Smelter Reference List'!$C:$C,MATCH($A719,'Smelter Reference List'!$E:$E,0)))</f>
        <v/>
      </c>
      <c r="D719" s="292" t="str">
        <f ca="1">IF(ISERROR($S719),"",OFFSET('Smelter Reference List'!$C$4,$S719-4,0)&amp;"")</f>
        <v/>
      </c>
      <c r="E719" s="292" t="str">
        <f ca="1">IF(ISERROR($S719),"",OFFSET('Smelter Reference List'!$D$4,$S719-4,0)&amp;"")</f>
        <v/>
      </c>
      <c r="F719" s="292" t="str">
        <f ca="1">IF(ISERROR($S719),"",OFFSET('Smelter Reference List'!$E$4,$S719-4,0))</f>
        <v/>
      </c>
      <c r="G719" s="292" t="str">
        <f ca="1">IF(C719=$U$4,"Enter smelter details", IF(ISERROR($S719),"",OFFSET('Smelter Reference List'!$F$4,$S719-4,0)))</f>
        <v/>
      </c>
      <c r="H719" s="293" t="str">
        <f ca="1">IF(ISERROR($S719),"",OFFSET('Smelter Reference List'!$G$4,$S719-4,0))</f>
        <v/>
      </c>
      <c r="I719" s="294" t="str">
        <f ca="1">IF(ISERROR($S719),"",OFFSET('Smelter Reference List'!$H$4,$S719-4,0))</f>
        <v/>
      </c>
      <c r="J719" s="294" t="str">
        <f ca="1">IF(ISERROR($S719),"",OFFSET('Smelter Reference List'!$I$4,$S719-4,0))</f>
        <v/>
      </c>
      <c r="K719" s="295"/>
      <c r="L719" s="295"/>
      <c r="M719" s="295"/>
      <c r="N719" s="295"/>
      <c r="O719" s="295"/>
      <c r="P719" s="295"/>
      <c r="Q719" s="296"/>
      <c r="R719" s="227"/>
      <c r="S719" s="228" t="e">
        <f>IF(C719="",NA(),MATCH($B719&amp;$C719,'Smelter Reference List'!$J:$J,0))</f>
        <v>#N/A</v>
      </c>
      <c r="T719" s="229"/>
      <c r="U719" s="229">
        <f t="shared" ca="1" si="24"/>
        <v>0</v>
      </c>
      <c r="V719" s="229"/>
      <c r="W719" s="229"/>
      <c r="Y719" s="223" t="str">
        <f t="shared" si="25"/>
        <v/>
      </c>
    </row>
    <row r="720" spans="1:25" s="223" customFormat="1" ht="20.25">
      <c r="A720" s="291"/>
      <c r="B720" s="292" t="str">
        <f>IF(LEN(A720)=0,"",INDEX('Smelter Reference List'!$A:$A,MATCH($A720,'Smelter Reference List'!$E:$E,0)))</f>
        <v/>
      </c>
      <c r="C720" s="298" t="str">
        <f>IF(LEN(A720)=0,"",INDEX('Smelter Reference List'!$C:$C,MATCH($A720,'Smelter Reference List'!$E:$E,0)))</f>
        <v/>
      </c>
      <c r="D720" s="292" t="str">
        <f ca="1">IF(ISERROR($S720),"",OFFSET('Smelter Reference List'!$C$4,$S720-4,0)&amp;"")</f>
        <v/>
      </c>
      <c r="E720" s="292" t="str">
        <f ca="1">IF(ISERROR($S720),"",OFFSET('Smelter Reference List'!$D$4,$S720-4,0)&amp;"")</f>
        <v/>
      </c>
      <c r="F720" s="292" t="str">
        <f ca="1">IF(ISERROR($S720),"",OFFSET('Smelter Reference List'!$E$4,$S720-4,0))</f>
        <v/>
      </c>
      <c r="G720" s="292" t="str">
        <f ca="1">IF(C720=$U$4,"Enter smelter details", IF(ISERROR($S720),"",OFFSET('Smelter Reference List'!$F$4,$S720-4,0)))</f>
        <v/>
      </c>
      <c r="H720" s="293" t="str">
        <f ca="1">IF(ISERROR($S720),"",OFFSET('Smelter Reference List'!$G$4,$S720-4,0))</f>
        <v/>
      </c>
      <c r="I720" s="294" t="str">
        <f ca="1">IF(ISERROR($S720),"",OFFSET('Smelter Reference List'!$H$4,$S720-4,0))</f>
        <v/>
      </c>
      <c r="J720" s="294" t="str">
        <f ca="1">IF(ISERROR($S720),"",OFFSET('Smelter Reference List'!$I$4,$S720-4,0))</f>
        <v/>
      </c>
      <c r="K720" s="295"/>
      <c r="L720" s="295"/>
      <c r="M720" s="295"/>
      <c r="N720" s="295"/>
      <c r="O720" s="295"/>
      <c r="P720" s="295"/>
      <c r="Q720" s="296"/>
      <c r="R720" s="227"/>
      <c r="S720" s="228" t="e">
        <f>IF(C720="",NA(),MATCH($B720&amp;$C720,'Smelter Reference List'!$J:$J,0))</f>
        <v>#N/A</v>
      </c>
      <c r="T720" s="229"/>
      <c r="U720" s="229">
        <f t="shared" ca="1" si="24"/>
        <v>0</v>
      </c>
      <c r="V720" s="229"/>
      <c r="W720" s="229"/>
      <c r="Y720" s="223" t="str">
        <f t="shared" si="25"/>
        <v/>
      </c>
    </row>
    <row r="721" spans="1:25" s="223" customFormat="1" ht="20.25">
      <c r="A721" s="291"/>
      <c r="B721" s="292" t="str">
        <f>IF(LEN(A721)=0,"",INDEX('Smelter Reference List'!$A:$A,MATCH($A721,'Smelter Reference List'!$E:$E,0)))</f>
        <v/>
      </c>
      <c r="C721" s="298" t="str">
        <f>IF(LEN(A721)=0,"",INDEX('Smelter Reference List'!$C:$C,MATCH($A721,'Smelter Reference List'!$E:$E,0)))</f>
        <v/>
      </c>
      <c r="D721" s="292" t="str">
        <f ca="1">IF(ISERROR($S721),"",OFFSET('Smelter Reference List'!$C$4,$S721-4,0)&amp;"")</f>
        <v/>
      </c>
      <c r="E721" s="292" t="str">
        <f ca="1">IF(ISERROR($S721),"",OFFSET('Smelter Reference List'!$D$4,$S721-4,0)&amp;"")</f>
        <v/>
      </c>
      <c r="F721" s="292" t="str">
        <f ca="1">IF(ISERROR($S721),"",OFFSET('Smelter Reference List'!$E$4,$S721-4,0))</f>
        <v/>
      </c>
      <c r="G721" s="292" t="str">
        <f ca="1">IF(C721=$U$4,"Enter smelter details", IF(ISERROR($S721),"",OFFSET('Smelter Reference List'!$F$4,$S721-4,0)))</f>
        <v/>
      </c>
      <c r="H721" s="293" t="str">
        <f ca="1">IF(ISERROR($S721),"",OFFSET('Smelter Reference List'!$G$4,$S721-4,0))</f>
        <v/>
      </c>
      <c r="I721" s="294" t="str">
        <f ca="1">IF(ISERROR($S721),"",OFFSET('Smelter Reference List'!$H$4,$S721-4,0))</f>
        <v/>
      </c>
      <c r="J721" s="294" t="str">
        <f ca="1">IF(ISERROR($S721),"",OFFSET('Smelter Reference List'!$I$4,$S721-4,0))</f>
        <v/>
      </c>
      <c r="K721" s="295"/>
      <c r="L721" s="295"/>
      <c r="M721" s="295"/>
      <c r="N721" s="295"/>
      <c r="O721" s="295"/>
      <c r="P721" s="295"/>
      <c r="Q721" s="296"/>
      <c r="R721" s="227"/>
      <c r="S721" s="228" t="e">
        <f>IF(C721="",NA(),MATCH($B721&amp;$C721,'Smelter Reference List'!$J:$J,0))</f>
        <v>#N/A</v>
      </c>
      <c r="T721" s="229"/>
      <c r="U721" s="229">
        <f t="shared" ca="1" si="24"/>
        <v>0</v>
      </c>
      <c r="V721" s="229"/>
      <c r="W721" s="229"/>
      <c r="Y721" s="223" t="str">
        <f t="shared" si="25"/>
        <v/>
      </c>
    </row>
    <row r="722" spans="1:25" s="223" customFormat="1" ht="20.25">
      <c r="A722" s="291"/>
      <c r="B722" s="292" t="str">
        <f>IF(LEN(A722)=0,"",INDEX('Smelter Reference List'!$A:$A,MATCH($A722,'Smelter Reference List'!$E:$E,0)))</f>
        <v/>
      </c>
      <c r="C722" s="298" t="str">
        <f>IF(LEN(A722)=0,"",INDEX('Smelter Reference List'!$C:$C,MATCH($A722,'Smelter Reference List'!$E:$E,0)))</f>
        <v/>
      </c>
      <c r="D722" s="292" t="str">
        <f ca="1">IF(ISERROR($S722),"",OFFSET('Smelter Reference List'!$C$4,$S722-4,0)&amp;"")</f>
        <v/>
      </c>
      <c r="E722" s="292" t="str">
        <f ca="1">IF(ISERROR($S722),"",OFFSET('Smelter Reference List'!$D$4,$S722-4,0)&amp;"")</f>
        <v/>
      </c>
      <c r="F722" s="292" t="str">
        <f ca="1">IF(ISERROR($S722),"",OFFSET('Smelter Reference List'!$E$4,$S722-4,0))</f>
        <v/>
      </c>
      <c r="G722" s="292" t="str">
        <f ca="1">IF(C722=$U$4,"Enter smelter details", IF(ISERROR($S722),"",OFFSET('Smelter Reference List'!$F$4,$S722-4,0)))</f>
        <v/>
      </c>
      <c r="H722" s="293" t="str">
        <f ca="1">IF(ISERROR($S722),"",OFFSET('Smelter Reference List'!$G$4,$S722-4,0))</f>
        <v/>
      </c>
      <c r="I722" s="294" t="str">
        <f ca="1">IF(ISERROR($S722),"",OFFSET('Smelter Reference List'!$H$4,$S722-4,0))</f>
        <v/>
      </c>
      <c r="J722" s="294" t="str">
        <f ca="1">IF(ISERROR($S722),"",OFFSET('Smelter Reference List'!$I$4,$S722-4,0))</f>
        <v/>
      </c>
      <c r="K722" s="295"/>
      <c r="L722" s="295"/>
      <c r="M722" s="295"/>
      <c r="N722" s="295"/>
      <c r="O722" s="295"/>
      <c r="P722" s="295"/>
      <c r="Q722" s="296"/>
      <c r="R722" s="227"/>
      <c r="S722" s="228" t="e">
        <f>IF(C722="",NA(),MATCH($B722&amp;$C722,'Smelter Reference List'!$J:$J,0))</f>
        <v>#N/A</v>
      </c>
      <c r="T722" s="229"/>
      <c r="U722" s="229">
        <f t="shared" ca="1" si="24"/>
        <v>0</v>
      </c>
      <c r="V722" s="229"/>
      <c r="W722" s="229"/>
      <c r="Y722" s="223" t="str">
        <f t="shared" si="25"/>
        <v/>
      </c>
    </row>
    <row r="723" spans="1:25" s="223" customFormat="1" ht="20.25">
      <c r="A723" s="291"/>
      <c r="B723" s="292" t="str">
        <f>IF(LEN(A723)=0,"",INDEX('Smelter Reference List'!$A:$A,MATCH($A723,'Smelter Reference List'!$E:$E,0)))</f>
        <v/>
      </c>
      <c r="C723" s="298" t="str">
        <f>IF(LEN(A723)=0,"",INDEX('Smelter Reference List'!$C:$C,MATCH($A723,'Smelter Reference List'!$E:$E,0)))</f>
        <v/>
      </c>
      <c r="D723" s="292" t="str">
        <f ca="1">IF(ISERROR($S723),"",OFFSET('Smelter Reference List'!$C$4,$S723-4,0)&amp;"")</f>
        <v/>
      </c>
      <c r="E723" s="292" t="str">
        <f ca="1">IF(ISERROR($S723),"",OFFSET('Smelter Reference List'!$D$4,$S723-4,0)&amp;"")</f>
        <v/>
      </c>
      <c r="F723" s="292" t="str">
        <f ca="1">IF(ISERROR($S723),"",OFFSET('Smelter Reference List'!$E$4,$S723-4,0))</f>
        <v/>
      </c>
      <c r="G723" s="292" t="str">
        <f ca="1">IF(C723=$U$4,"Enter smelter details", IF(ISERROR($S723),"",OFFSET('Smelter Reference List'!$F$4,$S723-4,0)))</f>
        <v/>
      </c>
      <c r="H723" s="293" t="str">
        <f ca="1">IF(ISERROR($S723),"",OFFSET('Smelter Reference List'!$G$4,$S723-4,0))</f>
        <v/>
      </c>
      <c r="I723" s="294" t="str">
        <f ca="1">IF(ISERROR($S723),"",OFFSET('Smelter Reference List'!$H$4,$S723-4,0))</f>
        <v/>
      </c>
      <c r="J723" s="294" t="str">
        <f ca="1">IF(ISERROR($S723),"",OFFSET('Smelter Reference List'!$I$4,$S723-4,0))</f>
        <v/>
      </c>
      <c r="K723" s="295"/>
      <c r="L723" s="295"/>
      <c r="M723" s="295"/>
      <c r="N723" s="295"/>
      <c r="O723" s="295"/>
      <c r="P723" s="295"/>
      <c r="Q723" s="296"/>
      <c r="R723" s="227"/>
      <c r="S723" s="228" t="e">
        <f>IF(C723="",NA(),MATCH($B723&amp;$C723,'Smelter Reference List'!$J:$J,0))</f>
        <v>#N/A</v>
      </c>
      <c r="T723" s="229"/>
      <c r="U723" s="229">
        <f t="shared" ca="1" si="24"/>
        <v>0</v>
      </c>
      <c r="V723" s="229"/>
      <c r="W723" s="229"/>
      <c r="Y723" s="223" t="str">
        <f t="shared" si="25"/>
        <v/>
      </c>
    </row>
    <row r="724" spans="1:25" s="223" customFormat="1" ht="20.25">
      <c r="A724" s="291"/>
      <c r="B724" s="292" t="str">
        <f>IF(LEN(A724)=0,"",INDEX('Smelter Reference List'!$A:$A,MATCH($A724,'Smelter Reference List'!$E:$E,0)))</f>
        <v/>
      </c>
      <c r="C724" s="298" t="str">
        <f>IF(LEN(A724)=0,"",INDEX('Smelter Reference List'!$C:$C,MATCH($A724,'Smelter Reference List'!$E:$E,0)))</f>
        <v/>
      </c>
      <c r="D724" s="292" t="str">
        <f ca="1">IF(ISERROR($S724),"",OFFSET('Smelter Reference List'!$C$4,$S724-4,0)&amp;"")</f>
        <v/>
      </c>
      <c r="E724" s="292" t="str">
        <f ca="1">IF(ISERROR($S724),"",OFFSET('Smelter Reference List'!$D$4,$S724-4,0)&amp;"")</f>
        <v/>
      </c>
      <c r="F724" s="292" t="str">
        <f ca="1">IF(ISERROR($S724),"",OFFSET('Smelter Reference List'!$E$4,$S724-4,0))</f>
        <v/>
      </c>
      <c r="G724" s="292" t="str">
        <f ca="1">IF(C724=$U$4,"Enter smelter details", IF(ISERROR($S724),"",OFFSET('Smelter Reference List'!$F$4,$S724-4,0)))</f>
        <v/>
      </c>
      <c r="H724" s="293" t="str">
        <f ca="1">IF(ISERROR($S724),"",OFFSET('Smelter Reference List'!$G$4,$S724-4,0))</f>
        <v/>
      </c>
      <c r="I724" s="294" t="str">
        <f ca="1">IF(ISERROR($S724),"",OFFSET('Smelter Reference List'!$H$4,$S724-4,0))</f>
        <v/>
      </c>
      <c r="J724" s="294" t="str">
        <f ca="1">IF(ISERROR($S724),"",OFFSET('Smelter Reference List'!$I$4,$S724-4,0))</f>
        <v/>
      </c>
      <c r="K724" s="295"/>
      <c r="L724" s="295"/>
      <c r="M724" s="295"/>
      <c r="N724" s="295"/>
      <c r="O724" s="295"/>
      <c r="P724" s="295"/>
      <c r="Q724" s="296"/>
      <c r="R724" s="227"/>
      <c r="S724" s="228" t="e">
        <f>IF(C724="",NA(),MATCH($B724&amp;$C724,'Smelter Reference List'!$J:$J,0))</f>
        <v>#N/A</v>
      </c>
      <c r="T724" s="229"/>
      <c r="U724" s="229">
        <f t="shared" ca="1" si="24"/>
        <v>0</v>
      </c>
      <c r="V724" s="229"/>
      <c r="W724" s="229"/>
      <c r="Y724" s="223" t="str">
        <f t="shared" si="25"/>
        <v/>
      </c>
    </row>
    <row r="725" spans="1:25" s="223" customFormat="1" ht="20.25">
      <c r="A725" s="291"/>
      <c r="B725" s="292" t="str">
        <f>IF(LEN(A725)=0,"",INDEX('Smelter Reference List'!$A:$A,MATCH($A725,'Smelter Reference List'!$E:$E,0)))</f>
        <v/>
      </c>
      <c r="C725" s="298" t="str">
        <f>IF(LEN(A725)=0,"",INDEX('Smelter Reference List'!$C:$C,MATCH($A725,'Smelter Reference List'!$E:$E,0)))</f>
        <v/>
      </c>
      <c r="D725" s="292" t="str">
        <f ca="1">IF(ISERROR($S725),"",OFFSET('Smelter Reference List'!$C$4,$S725-4,0)&amp;"")</f>
        <v/>
      </c>
      <c r="E725" s="292" t="str">
        <f ca="1">IF(ISERROR($S725),"",OFFSET('Smelter Reference List'!$D$4,$S725-4,0)&amp;"")</f>
        <v/>
      </c>
      <c r="F725" s="292" t="str">
        <f ca="1">IF(ISERROR($S725),"",OFFSET('Smelter Reference List'!$E$4,$S725-4,0))</f>
        <v/>
      </c>
      <c r="G725" s="292" t="str">
        <f ca="1">IF(C725=$U$4,"Enter smelter details", IF(ISERROR($S725),"",OFFSET('Smelter Reference List'!$F$4,$S725-4,0)))</f>
        <v/>
      </c>
      <c r="H725" s="293" t="str">
        <f ca="1">IF(ISERROR($S725),"",OFFSET('Smelter Reference List'!$G$4,$S725-4,0))</f>
        <v/>
      </c>
      <c r="I725" s="294" t="str">
        <f ca="1">IF(ISERROR($S725),"",OFFSET('Smelter Reference List'!$H$4,$S725-4,0))</f>
        <v/>
      </c>
      <c r="J725" s="294" t="str">
        <f ca="1">IF(ISERROR($S725),"",OFFSET('Smelter Reference List'!$I$4,$S725-4,0))</f>
        <v/>
      </c>
      <c r="K725" s="295"/>
      <c r="L725" s="295"/>
      <c r="M725" s="295"/>
      <c r="N725" s="295"/>
      <c r="O725" s="295"/>
      <c r="P725" s="295"/>
      <c r="Q725" s="296"/>
      <c r="R725" s="227"/>
      <c r="S725" s="228" t="e">
        <f>IF(C725="",NA(),MATCH($B725&amp;$C725,'Smelter Reference List'!$J:$J,0))</f>
        <v>#N/A</v>
      </c>
      <c r="T725" s="229"/>
      <c r="U725" s="229">
        <f t="shared" ca="1" si="24"/>
        <v>0</v>
      </c>
      <c r="V725" s="229"/>
      <c r="W725" s="229"/>
      <c r="Y725" s="223" t="str">
        <f t="shared" si="25"/>
        <v/>
      </c>
    </row>
    <row r="726" spans="1:25" s="223" customFormat="1" ht="20.25">
      <c r="A726" s="291"/>
      <c r="B726" s="292" t="str">
        <f>IF(LEN(A726)=0,"",INDEX('Smelter Reference List'!$A:$A,MATCH($A726,'Smelter Reference List'!$E:$E,0)))</f>
        <v/>
      </c>
      <c r="C726" s="298" t="str">
        <f>IF(LEN(A726)=0,"",INDEX('Smelter Reference List'!$C:$C,MATCH($A726,'Smelter Reference List'!$E:$E,0)))</f>
        <v/>
      </c>
      <c r="D726" s="292" t="str">
        <f ca="1">IF(ISERROR($S726),"",OFFSET('Smelter Reference List'!$C$4,$S726-4,0)&amp;"")</f>
        <v/>
      </c>
      <c r="E726" s="292" t="str">
        <f ca="1">IF(ISERROR($S726),"",OFFSET('Smelter Reference List'!$D$4,$S726-4,0)&amp;"")</f>
        <v/>
      </c>
      <c r="F726" s="292" t="str">
        <f ca="1">IF(ISERROR($S726),"",OFFSET('Smelter Reference List'!$E$4,$S726-4,0))</f>
        <v/>
      </c>
      <c r="G726" s="292" t="str">
        <f ca="1">IF(C726=$U$4,"Enter smelter details", IF(ISERROR($S726),"",OFFSET('Smelter Reference List'!$F$4,$S726-4,0)))</f>
        <v/>
      </c>
      <c r="H726" s="293" t="str">
        <f ca="1">IF(ISERROR($S726),"",OFFSET('Smelter Reference List'!$G$4,$S726-4,0))</f>
        <v/>
      </c>
      <c r="I726" s="294" t="str">
        <f ca="1">IF(ISERROR($S726),"",OFFSET('Smelter Reference List'!$H$4,$S726-4,0))</f>
        <v/>
      </c>
      <c r="J726" s="294" t="str">
        <f ca="1">IF(ISERROR($S726),"",OFFSET('Smelter Reference List'!$I$4,$S726-4,0))</f>
        <v/>
      </c>
      <c r="K726" s="295"/>
      <c r="L726" s="295"/>
      <c r="M726" s="295"/>
      <c r="N726" s="295"/>
      <c r="O726" s="295"/>
      <c r="P726" s="295"/>
      <c r="Q726" s="296"/>
      <c r="R726" s="227"/>
      <c r="S726" s="228" t="e">
        <f>IF(C726="",NA(),MATCH($B726&amp;$C726,'Smelter Reference List'!$J:$J,0))</f>
        <v>#N/A</v>
      </c>
      <c r="T726" s="229"/>
      <c r="U726" s="229">
        <f t="shared" ca="1" si="24"/>
        <v>0</v>
      </c>
      <c r="V726" s="229"/>
      <c r="W726" s="229"/>
      <c r="Y726" s="223" t="str">
        <f t="shared" si="25"/>
        <v/>
      </c>
    </row>
    <row r="727" spans="1:25" s="223" customFormat="1" ht="20.25">
      <c r="A727" s="291"/>
      <c r="B727" s="292" t="str">
        <f>IF(LEN(A727)=0,"",INDEX('Smelter Reference List'!$A:$A,MATCH($A727,'Smelter Reference List'!$E:$E,0)))</f>
        <v/>
      </c>
      <c r="C727" s="298" t="str">
        <f>IF(LEN(A727)=0,"",INDEX('Smelter Reference List'!$C:$C,MATCH($A727,'Smelter Reference List'!$E:$E,0)))</f>
        <v/>
      </c>
      <c r="D727" s="292" t="str">
        <f ca="1">IF(ISERROR($S727),"",OFFSET('Smelter Reference List'!$C$4,$S727-4,0)&amp;"")</f>
        <v/>
      </c>
      <c r="E727" s="292" t="str">
        <f ca="1">IF(ISERROR($S727),"",OFFSET('Smelter Reference List'!$D$4,$S727-4,0)&amp;"")</f>
        <v/>
      </c>
      <c r="F727" s="292" t="str">
        <f ca="1">IF(ISERROR($S727),"",OFFSET('Smelter Reference List'!$E$4,$S727-4,0))</f>
        <v/>
      </c>
      <c r="G727" s="292" t="str">
        <f ca="1">IF(C727=$U$4,"Enter smelter details", IF(ISERROR($S727),"",OFFSET('Smelter Reference List'!$F$4,$S727-4,0)))</f>
        <v/>
      </c>
      <c r="H727" s="293" t="str">
        <f ca="1">IF(ISERROR($S727),"",OFFSET('Smelter Reference List'!$G$4,$S727-4,0))</f>
        <v/>
      </c>
      <c r="I727" s="294" t="str">
        <f ca="1">IF(ISERROR($S727),"",OFFSET('Smelter Reference List'!$H$4,$S727-4,0))</f>
        <v/>
      </c>
      <c r="J727" s="294" t="str">
        <f ca="1">IF(ISERROR($S727),"",OFFSET('Smelter Reference List'!$I$4,$S727-4,0))</f>
        <v/>
      </c>
      <c r="K727" s="295"/>
      <c r="L727" s="295"/>
      <c r="M727" s="295"/>
      <c r="N727" s="295"/>
      <c r="O727" s="295"/>
      <c r="P727" s="295"/>
      <c r="Q727" s="296"/>
      <c r="R727" s="227"/>
      <c r="S727" s="228" t="e">
        <f>IF(C727="",NA(),MATCH($B727&amp;$C727,'Smelter Reference List'!$J:$J,0))</f>
        <v>#N/A</v>
      </c>
      <c r="T727" s="229"/>
      <c r="U727" s="229">
        <f t="shared" ca="1" si="24"/>
        <v>0</v>
      </c>
      <c r="V727" s="229"/>
      <c r="W727" s="229"/>
      <c r="Y727" s="223" t="str">
        <f t="shared" si="25"/>
        <v/>
      </c>
    </row>
    <row r="728" spans="1:25" s="223" customFormat="1" ht="20.25">
      <c r="A728" s="291"/>
      <c r="B728" s="292" t="str">
        <f>IF(LEN(A728)=0,"",INDEX('Smelter Reference List'!$A:$A,MATCH($A728,'Smelter Reference List'!$E:$E,0)))</f>
        <v/>
      </c>
      <c r="C728" s="298" t="str">
        <f>IF(LEN(A728)=0,"",INDEX('Smelter Reference List'!$C:$C,MATCH($A728,'Smelter Reference List'!$E:$E,0)))</f>
        <v/>
      </c>
      <c r="D728" s="292" t="str">
        <f ca="1">IF(ISERROR($S728),"",OFFSET('Smelter Reference List'!$C$4,$S728-4,0)&amp;"")</f>
        <v/>
      </c>
      <c r="E728" s="292" t="str">
        <f ca="1">IF(ISERROR($S728),"",OFFSET('Smelter Reference List'!$D$4,$S728-4,0)&amp;"")</f>
        <v/>
      </c>
      <c r="F728" s="292" t="str">
        <f ca="1">IF(ISERROR($S728),"",OFFSET('Smelter Reference List'!$E$4,$S728-4,0))</f>
        <v/>
      </c>
      <c r="G728" s="292" t="str">
        <f ca="1">IF(C728=$U$4,"Enter smelter details", IF(ISERROR($S728),"",OFFSET('Smelter Reference List'!$F$4,$S728-4,0)))</f>
        <v/>
      </c>
      <c r="H728" s="293" t="str">
        <f ca="1">IF(ISERROR($S728),"",OFFSET('Smelter Reference List'!$G$4,$S728-4,0))</f>
        <v/>
      </c>
      <c r="I728" s="294" t="str">
        <f ca="1">IF(ISERROR($S728),"",OFFSET('Smelter Reference List'!$H$4,$S728-4,0))</f>
        <v/>
      </c>
      <c r="J728" s="294" t="str">
        <f ca="1">IF(ISERROR($S728),"",OFFSET('Smelter Reference List'!$I$4,$S728-4,0))</f>
        <v/>
      </c>
      <c r="K728" s="295"/>
      <c r="L728" s="295"/>
      <c r="M728" s="295"/>
      <c r="N728" s="295"/>
      <c r="O728" s="295"/>
      <c r="P728" s="295"/>
      <c r="Q728" s="296"/>
      <c r="R728" s="227"/>
      <c r="S728" s="228" t="e">
        <f>IF(C728="",NA(),MATCH($B728&amp;$C728,'Smelter Reference List'!$J:$J,0))</f>
        <v>#N/A</v>
      </c>
      <c r="T728" s="229"/>
      <c r="U728" s="229">
        <f t="shared" ca="1" si="24"/>
        <v>0</v>
      </c>
      <c r="V728" s="229"/>
      <c r="W728" s="229"/>
      <c r="Y728" s="223" t="str">
        <f t="shared" si="25"/>
        <v/>
      </c>
    </row>
    <row r="729" spans="1:25" s="223" customFormat="1" ht="20.25">
      <c r="A729" s="291"/>
      <c r="B729" s="292" t="str">
        <f>IF(LEN(A729)=0,"",INDEX('Smelter Reference List'!$A:$A,MATCH($A729,'Smelter Reference List'!$E:$E,0)))</f>
        <v/>
      </c>
      <c r="C729" s="298" t="str">
        <f>IF(LEN(A729)=0,"",INDEX('Smelter Reference List'!$C:$C,MATCH($A729,'Smelter Reference List'!$E:$E,0)))</f>
        <v/>
      </c>
      <c r="D729" s="292" t="str">
        <f ca="1">IF(ISERROR($S729),"",OFFSET('Smelter Reference List'!$C$4,$S729-4,0)&amp;"")</f>
        <v/>
      </c>
      <c r="E729" s="292" t="str">
        <f ca="1">IF(ISERROR($S729),"",OFFSET('Smelter Reference List'!$D$4,$S729-4,0)&amp;"")</f>
        <v/>
      </c>
      <c r="F729" s="292" t="str">
        <f ca="1">IF(ISERROR($S729),"",OFFSET('Smelter Reference List'!$E$4,$S729-4,0))</f>
        <v/>
      </c>
      <c r="G729" s="292" t="str">
        <f ca="1">IF(C729=$U$4,"Enter smelter details", IF(ISERROR($S729),"",OFFSET('Smelter Reference List'!$F$4,$S729-4,0)))</f>
        <v/>
      </c>
      <c r="H729" s="293" t="str">
        <f ca="1">IF(ISERROR($S729),"",OFFSET('Smelter Reference List'!$G$4,$S729-4,0))</f>
        <v/>
      </c>
      <c r="I729" s="294" t="str">
        <f ca="1">IF(ISERROR($S729),"",OFFSET('Smelter Reference List'!$H$4,$S729-4,0))</f>
        <v/>
      </c>
      <c r="J729" s="294" t="str">
        <f ca="1">IF(ISERROR($S729),"",OFFSET('Smelter Reference List'!$I$4,$S729-4,0))</f>
        <v/>
      </c>
      <c r="K729" s="295"/>
      <c r="L729" s="295"/>
      <c r="M729" s="295"/>
      <c r="N729" s="295"/>
      <c r="O729" s="295"/>
      <c r="P729" s="295"/>
      <c r="Q729" s="296"/>
      <c r="R729" s="227"/>
      <c r="S729" s="228" t="e">
        <f>IF(C729="",NA(),MATCH($B729&amp;$C729,'Smelter Reference List'!$J:$J,0))</f>
        <v>#N/A</v>
      </c>
      <c r="T729" s="229"/>
      <c r="U729" s="229">
        <f t="shared" ca="1" si="24"/>
        <v>0</v>
      </c>
      <c r="V729" s="229"/>
      <c r="W729" s="229"/>
      <c r="Y729" s="223" t="str">
        <f t="shared" si="25"/>
        <v/>
      </c>
    </row>
    <row r="730" spans="1:25" s="223" customFormat="1" ht="20.25">
      <c r="A730" s="291"/>
      <c r="B730" s="292" t="str">
        <f>IF(LEN(A730)=0,"",INDEX('Smelter Reference List'!$A:$A,MATCH($A730,'Smelter Reference List'!$E:$E,0)))</f>
        <v/>
      </c>
      <c r="C730" s="298" t="str">
        <f>IF(LEN(A730)=0,"",INDEX('Smelter Reference List'!$C:$C,MATCH($A730,'Smelter Reference List'!$E:$E,0)))</f>
        <v/>
      </c>
      <c r="D730" s="292" t="str">
        <f ca="1">IF(ISERROR($S730),"",OFFSET('Smelter Reference List'!$C$4,$S730-4,0)&amp;"")</f>
        <v/>
      </c>
      <c r="E730" s="292" t="str">
        <f ca="1">IF(ISERROR($S730),"",OFFSET('Smelter Reference List'!$D$4,$S730-4,0)&amp;"")</f>
        <v/>
      </c>
      <c r="F730" s="292" t="str">
        <f ca="1">IF(ISERROR($S730),"",OFFSET('Smelter Reference List'!$E$4,$S730-4,0))</f>
        <v/>
      </c>
      <c r="G730" s="292" t="str">
        <f ca="1">IF(C730=$U$4,"Enter smelter details", IF(ISERROR($S730),"",OFFSET('Smelter Reference List'!$F$4,$S730-4,0)))</f>
        <v/>
      </c>
      <c r="H730" s="293" t="str">
        <f ca="1">IF(ISERROR($S730),"",OFFSET('Smelter Reference List'!$G$4,$S730-4,0))</f>
        <v/>
      </c>
      <c r="I730" s="294" t="str">
        <f ca="1">IF(ISERROR($S730),"",OFFSET('Smelter Reference List'!$H$4,$S730-4,0))</f>
        <v/>
      </c>
      <c r="J730" s="294" t="str">
        <f ca="1">IF(ISERROR($S730),"",OFFSET('Smelter Reference List'!$I$4,$S730-4,0))</f>
        <v/>
      </c>
      <c r="K730" s="295"/>
      <c r="L730" s="295"/>
      <c r="M730" s="295"/>
      <c r="N730" s="295"/>
      <c r="O730" s="295"/>
      <c r="P730" s="295"/>
      <c r="Q730" s="296"/>
      <c r="R730" s="227"/>
      <c r="S730" s="228" t="e">
        <f>IF(C730="",NA(),MATCH($B730&amp;$C730,'Smelter Reference List'!$J:$J,0))</f>
        <v>#N/A</v>
      </c>
      <c r="T730" s="229"/>
      <c r="U730" s="229">
        <f t="shared" ca="1" si="24"/>
        <v>0</v>
      </c>
      <c r="V730" s="229"/>
      <c r="W730" s="229"/>
      <c r="Y730" s="223" t="str">
        <f t="shared" si="25"/>
        <v/>
      </c>
    </row>
    <row r="731" spans="1:25" s="223" customFormat="1" ht="20.25">
      <c r="A731" s="291"/>
      <c r="B731" s="292" t="str">
        <f>IF(LEN(A731)=0,"",INDEX('Smelter Reference List'!$A:$A,MATCH($A731,'Smelter Reference List'!$E:$E,0)))</f>
        <v/>
      </c>
      <c r="C731" s="298" t="str">
        <f>IF(LEN(A731)=0,"",INDEX('Smelter Reference List'!$C:$C,MATCH($A731,'Smelter Reference List'!$E:$E,0)))</f>
        <v/>
      </c>
      <c r="D731" s="292" t="str">
        <f ca="1">IF(ISERROR($S731),"",OFFSET('Smelter Reference List'!$C$4,$S731-4,0)&amp;"")</f>
        <v/>
      </c>
      <c r="E731" s="292" t="str">
        <f ca="1">IF(ISERROR($S731),"",OFFSET('Smelter Reference List'!$D$4,$S731-4,0)&amp;"")</f>
        <v/>
      </c>
      <c r="F731" s="292" t="str">
        <f ca="1">IF(ISERROR($S731),"",OFFSET('Smelter Reference List'!$E$4,$S731-4,0))</f>
        <v/>
      </c>
      <c r="G731" s="292" t="str">
        <f ca="1">IF(C731=$U$4,"Enter smelter details", IF(ISERROR($S731),"",OFFSET('Smelter Reference List'!$F$4,$S731-4,0)))</f>
        <v/>
      </c>
      <c r="H731" s="293" t="str">
        <f ca="1">IF(ISERROR($S731),"",OFFSET('Smelter Reference List'!$G$4,$S731-4,0))</f>
        <v/>
      </c>
      <c r="I731" s="294" t="str">
        <f ca="1">IF(ISERROR($S731),"",OFFSET('Smelter Reference List'!$H$4,$S731-4,0))</f>
        <v/>
      </c>
      <c r="J731" s="294" t="str">
        <f ca="1">IF(ISERROR($S731),"",OFFSET('Smelter Reference List'!$I$4,$S731-4,0))</f>
        <v/>
      </c>
      <c r="K731" s="295"/>
      <c r="L731" s="295"/>
      <c r="M731" s="295"/>
      <c r="N731" s="295"/>
      <c r="O731" s="295"/>
      <c r="P731" s="295"/>
      <c r="Q731" s="296"/>
      <c r="R731" s="227"/>
      <c r="S731" s="228" t="e">
        <f>IF(C731="",NA(),MATCH($B731&amp;$C731,'Smelter Reference List'!$J:$J,0))</f>
        <v>#N/A</v>
      </c>
      <c r="T731" s="229"/>
      <c r="U731" s="229">
        <f t="shared" ca="1" si="24"/>
        <v>0</v>
      </c>
      <c r="V731" s="229"/>
      <c r="W731" s="229"/>
      <c r="Y731" s="223" t="str">
        <f t="shared" si="25"/>
        <v/>
      </c>
    </row>
    <row r="732" spans="1:25" s="223" customFormat="1" ht="20.25">
      <c r="A732" s="291"/>
      <c r="B732" s="292" t="str">
        <f>IF(LEN(A732)=0,"",INDEX('Smelter Reference List'!$A:$A,MATCH($A732,'Smelter Reference List'!$E:$E,0)))</f>
        <v/>
      </c>
      <c r="C732" s="298" t="str">
        <f>IF(LEN(A732)=0,"",INDEX('Smelter Reference List'!$C:$C,MATCH($A732,'Smelter Reference List'!$E:$E,0)))</f>
        <v/>
      </c>
      <c r="D732" s="292" t="str">
        <f ca="1">IF(ISERROR($S732),"",OFFSET('Smelter Reference List'!$C$4,$S732-4,0)&amp;"")</f>
        <v/>
      </c>
      <c r="E732" s="292" t="str">
        <f ca="1">IF(ISERROR($S732),"",OFFSET('Smelter Reference List'!$D$4,$S732-4,0)&amp;"")</f>
        <v/>
      </c>
      <c r="F732" s="292" t="str">
        <f ca="1">IF(ISERROR($S732),"",OFFSET('Smelter Reference List'!$E$4,$S732-4,0))</f>
        <v/>
      </c>
      <c r="G732" s="292" t="str">
        <f ca="1">IF(C732=$U$4,"Enter smelter details", IF(ISERROR($S732),"",OFFSET('Smelter Reference List'!$F$4,$S732-4,0)))</f>
        <v/>
      </c>
      <c r="H732" s="293" t="str">
        <f ca="1">IF(ISERROR($S732),"",OFFSET('Smelter Reference List'!$G$4,$S732-4,0))</f>
        <v/>
      </c>
      <c r="I732" s="294" t="str">
        <f ca="1">IF(ISERROR($S732),"",OFFSET('Smelter Reference List'!$H$4,$S732-4,0))</f>
        <v/>
      </c>
      <c r="J732" s="294" t="str">
        <f ca="1">IF(ISERROR($S732),"",OFFSET('Smelter Reference List'!$I$4,$S732-4,0))</f>
        <v/>
      </c>
      <c r="K732" s="295"/>
      <c r="L732" s="295"/>
      <c r="M732" s="295"/>
      <c r="N732" s="295"/>
      <c r="O732" s="295"/>
      <c r="P732" s="295"/>
      <c r="Q732" s="296"/>
      <c r="R732" s="227"/>
      <c r="S732" s="228" t="e">
        <f>IF(C732="",NA(),MATCH($B732&amp;$C732,'Smelter Reference List'!$J:$J,0))</f>
        <v>#N/A</v>
      </c>
      <c r="T732" s="229"/>
      <c r="U732" s="229">
        <f t="shared" ca="1" si="24"/>
        <v>0</v>
      </c>
      <c r="V732" s="229"/>
      <c r="W732" s="229"/>
      <c r="Y732" s="223" t="str">
        <f t="shared" si="25"/>
        <v/>
      </c>
    </row>
    <row r="733" spans="1:25" s="223" customFormat="1" ht="20.25">
      <c r="A733" s="291"/>
      <c r="B733" s="292" t="str">
        <f>IF(LEN(A733)=0,"",INDEX('Smelter Reference List'!$A:$A,MATCH($A733,'Smelter Reference List'!$E:$E,0)))</f>
        <v/>
      </c>
      <c r="C733" s="298" t="str">
        <f>IF(LEN(A733)=0,"",INDEX('Smelter Reference List'!$C:$C,MATCH($A733,'Smelter Reference List'!$E:$E,0)))</f>
        <v/>
      </c>
      <c r="D733" s="292" t="str">
        <f ca="1">IF(ISERROR($S733),"",OFFSET('Smelter Reference List'!$C$4,$S733-4,0)&amp;"")</f>
        <v/>
      </c>
      <c r="E733" s="292" t="str">
        <f ca="1">IF(ISERROR($S733),"",OFFSET('Smelter Reference List'!$D$4,$S733-4,0)&amp;"")</f>
        <v/>
      </c>
      <c r="F733" s="292" t="str">
        <f ca="1">IF(ISERROR($S733),"",OFFSET('Smelter Reference List'!$E$4,$S733-4,0))</f>
        <v/>
      </c>
      <c r="G733" s="292" t="str">
        <f ca="1">IF(C733=$U$4,"Enter smelter details", IF(ISERROR($S733),"",OFFSET('Smelter Reference List'!$F$4,$S733-4,0)))</f>
        <v/>
      </c>
      <c r="H733" s="293" t="str">
        <f ca="1">IF(ISERROR($S733),"",OFFSET('Smelter Reference List'!$G$4,$S733-4,0))</f>
        <v/>
      </c>
      <c r="I733" s="294" t="str">
        <f ca="1">IF(ISERROR($S733),"",OFFSET('Smelter Reference List'!$H$4,$S733-4,0))</f>
        <v/>
      </c>
      <c r="J733" s="294" t="str">
        <f ca="1">IF(ISERROR($S733),"",OFFSET('Smelter Reference List'!$I$4,$S733-4,0))</f>
        <v/>
      </c>
      <c r="K733" s="295"/>
      <c r="L733" s="295"/>
      <c r="M733" s="295"/>
      <c r="N733" s="295"/>
      <c r="O733" s="295"/>
      <c r="P733" s="295"/>
      <c r="Q733" s="296"/>
      <c r="R733" s="227"/>
      <c r="S733" s="228" t="e">
        <f>IF(C733="",NA(),MATCH($B733&amp;$C733,'Smelter Reference List'!$J:$J,0))</f>
        <v>#N/A</v>
      </c>
      <c r="T733" s="229"/>
      <c r="U733" s="229">
        <f t="shared" ca="1" si="24"/>
        <v>0</v>
      </c>
      <c r="V733" s="229"/>
      <c r="W733" s="229"/>
      <c r="Y733" s="223" t="str">
        <f t="shared" si="25"/>
        <v/>
      </c>
    </row>
    <row r="734" spans="1:25" s="223" customFormat="1" ht="20.25">
      <c r="A734" s="291"/>
      <c r="B734" s="292" t="str">
        <f>IF(LEN(A734)=0,"",INDEX('Smelter Reference List'!$A:$A,MATCH($A734,'Smelter Reference List'!$E:$E,0)))</f>
        <v/>
      </c>
      <c r="C734" s="298" t="str">
        <f>IF(LEN(A734)=0,"",INDEX('Smelter Reference List'!$C:$C,MATCH($A734,'Smelter Reference List'!$E:$E,0)))</f>
        <v/>
      </c>
      <c r="D734" s="292" t="str">
        <f ca="1">IF(ISERROR($S734),"",OFFSET('Smelter Reference List'!$C$4,$S734-4,0)&amp;"")</f>
        <v/>
      </c>
      <c r="E734" s="292" t="str">
        <f ca="1">IF(ISERROR($S734),"",OFFSET('Smelter Reference List'!$D$4,$S734-4,0)&amp;"")</f>
        <v/>
      </c>
      <c r="F734" s="292" t="str">
        <f ca="1">IF(ISERROR($S734),"",OFFSET('Smelter Reference List'!$E$4,$S734-4,0))</f>
        <v/>
      </c>
      <c r="G734" s="292" t="str">
        <f ca="1">IF(C734=$U$4,"Enter smelter details", IF(ISERROR($S734),"",OFFSET('Smelter Reference List'!$F$4,$S734-4,0)))</f>
        <v/>
      </c>
      <c r="H734" s="293" t="str">
        <f ca="1">IF(ISERROR($S734),"",OFFSET('Smelter Reference List'!$G$4,$S734-4,0))</f>
        <v/>
      </c>
      <c r="I734" s="294" t="str">
        <f ca="1">IF(ISERROR($S734),"",OFFSET('Smelter Reference List'!$H$4,$S734-4,0))</f>
        <v/>
      </c>
      <c r="J734" s="294" t="str">
        <f ca="1">IF(ISERROR($S734),"",OFFSET('Smelter Reference List'!$I$4,$S734-4,0))</f>
        <v/>
      </c>
      <c r="K734" s="295"/>
      <c r="L734" s="295"/>
      <c r="M734" s="295"/>
      <c r="N734" s="295"/>
      <c r="O734" s="295"/>
      <c r="P734" s="295"/>
      <c r="Q734" s="296"/>
      <c r="R734" s="227"/>
      <c r="S734" s="228" t="e">
        <f>IF(C734="",NA(),MATCH($B734&amp;$C734,'Smelter Reference List'!$J:$J,0))</f>
        <v>#N/A</v>
      </c>
      <c r="T734" s="229"/>
      <c r="U734" s="229">
        <f t="shared" ca="1" si="24"/>
        <v>0</v>
      </c>
      <c r="V734" s="229"/>
      <c r="W734" s="229"/>
      <c r="Y734" s="223" t="str">
        <f t="shared" si="25"/>
        <v/>
      </c>
    </row>
    <row r="735" spans="1:25" s="223" customFormat="1" ht="20.25">
      <c r="A735" s="291"/>
      <c r="B735" s="292" t="str">
        <f>IF(LEN(A735)=0,"",INDEX('Smelter Reference List'!$A:$A,MATCH($A735,'Smelter Reference List'!$E:$E,0)))</f>
        <v/>
      </c>
      <c r="C735" s="298" t="str">
        <f>IF(LEN(A735)=0,"",INDEX('Smelter Reference List'!$C:$C,MATCH($A735,'Smelter Reference List'!$E:$E,0)))</f>
        <v/>
      </c>
      <c r="D735" s="292" t="str">
        <f ca="1">IF(ISERROR($S735),"",OFFSET('Smelter Reference List'!$C$4,$S735-4,0)&amp;"")</f>
        <v/>
      </c>
      <c r="E735" s="292" t="str">
        <f ca="1">IF(ISERROR($S735),"",OFFSET('Smelter Reference List'!$D$4,$S735-4,0)&amp;"")</f>
        <v/>
      </c>
      <c r="F735" s="292" t="str">
        <f ca="1">IF(ISERROR($S735),"",OFFSET('Smelter Reference List'!$E$4,$S735-4,0))</f>
        <v/>
      </c>
      <c r="G735" s="292" t="str">
        <f ca="1">IF(C735=$U$4,"Enter smelter details", IF(ISERROR($S735),"",OFFSET('Smelter Reference List'!$F$4,$S735-4,0)))</f>
        <v/>
      </c>
      <c r="H735" s="293" t="str">
        <f ca="1">IF(ISERROR($S735),"",OFFSET('Smelter Reference List'!$G$4,$S735-4,0))</f>
        <v/>
      </c>
      <c r="I735" s="294" t="str">
        <f ca="1">IF(ISERROR($S735),"",OFFSET('Smelter Reference List'!$H$4,$S735-4,0))</f>
        <v/>
      </c>
      <c r="J735" s="294" t="str">
        <f ca="1">IF(ISERROR($S735),"",OFFSET('Smelter Reference List'!$I$4,$S735-4,0))</f>
        <v/>
      </c>
      <c r="K735" s="295"/>
      <c r="L735" s="295"/>
      <c r="M735" s="295"/>
      <c r="N735" s="295"/>
      <c r="O735" s="295"/>
      <c r="P735" s="295"/>
      <c r="Q735" s="296"/>
      <c r="R735" s="227"/>
      <c r="S735" s="228" t="e">
        <f>IF(C735="",NA(),MATCH($B735&amp;$C735,'Smelter Reference List'!$J:$J,0))</f>
        <v>#N/A</v>
      </c>
      <c r="T735" s="229"/>
      <c r="U735" s="229">
        <f t="shared" ca="1" si="24"/>
        <v>0</v>
      </c>
      <c r="V735" s="229"/>
      <c r="W735" s="229"/>
      <c r="Y735" s="223" t="str">
        <f t="shared" si="25"/>
        <v/>
      </c>
    </row>
    <row r="736" spans="1:25" s="223" customFormat="1" ht="20.25">
      <c r="A736" s="291"/>
      <c r="B736" s="292" t="str">
        <f>IF(LEN(A736)=0,"",INDEX('Smelter Reference List'!$A:$A,MATCH($A736,'Smelter Reference List'!$E:$E,0)))</f>
        <v/>
      </c>
      <c r="C736" s="298" t="str">
        <f>IF(LEN(A736)=0,"",INDEX('Smelter Reference List'!$C:$C,MATCH($A736,'Smelter Reference List'!$E:$E,0)))</f>
        <v/>
      </c>
      <c r="D736" s="292" t="str">
        <f ca="1">IF(ISERROR($S736),"",OFFSET('Smelter Reference List'!$C$4,$S736-4,0)&amp;"")</f>
        <v/>
      </c>
      <c r="E736" s="292" t="str">
        <f ca="1">IF(ISERROR($S736),"",OFFSET('Smelter Reference List'!$D$4,$S736-4,0)&amp;"")</f>
        <v/>
      </c>
      <c r="F736" s="292" t="str">
        <f ca="1">IF(ISERROR($S736),"",OFFSET('Smelter Reference List'!$E$4,$S736-4,0))</f>
        <v/>
      </c>
      <c r="G736" s="292" t="str">
        <f ca="1">IF(C736=$U$4,"Enter smelter details", IF(ISERROR($S736),"",OFFSET('Smelter Reference List'!$F$4,$S736-4,0)))</f>
        <v/>
      </c>
      <c r="H736" s="293" t="str">
        <f ca="1">IF(ISERROR($S736),"",OFFSET('Smelter Reference List'!$G$4,$S736-4,0))</f>
        <v/>
      </c>
      <c r="I736" s="294" t="str">
        <f ca="1">IF(ISERROR($S736),"",OFFSET('Smelter Reference List'!$H$4,$S736-4,0))</f>
        <v/>
      </c>
      <c r="J736" s="294" t="str">
        <f ca="1">IF(ISERROR($S736),"",OFFSET('Smelter Reference List'!$I$4,$S736-4,0))</f>
        <v/>
      </c>
      <c r="K736" s="295"/>
      <c r="L736" s="295"/>
      <c r="M736" s="295"/>
      <c r="N736" s="295"/>
      <c r="O736" s="295"/>
      <c r="P736" s="295"/>
      <c r="Q736" s="296"/>
      <c r="R736" s="227"/>
      <c r="S736" s="228" t="e">
        <f>IF(C736="",NA(),MATCH($B736&amp;$C736,'Smelter Reference List'!$J:$J,0))</f>
        <v>#N/A</v>
      </c>
      <c r="T736" s="229"/>
      <c r="U736" s="229">
        <f t="shared" ca="1" si="24"/>
        <v>0</v>
      </c>
      <c r="V736" s="229"/>
      <c r="W736" s="229"/>
      <c r="Y736" s="223" t="str">
        <f t="shared" si="25"/>
        <v/>
      </c>
    </row>
    <row r="737" spans="1:25" s="223" customFormat="1" ht="20.25">
      <c r="A737" s="291"/>
      <c r="B737" s="292" t="str">
        <f>IF(LEN(A737)=0,"",INDEX('Smelter Reference List'!$A:$A,MATCH($A737,'Smelter Reference List'!$E:$E,0)))</f>
        <v/>
      </c>
      <c r="C737" s="298" t="str">
        <f>IF(LEN(A737)=0,"",INDEX('Smelter Reference List'!$C:$C,MATCH($A737,'Smelter Reference List'!$E:$E,0)))</f>
        <v/>
      </c>
      <c r="D737" s="292" t="str">
        <f ca="1">IF(ISERROR($S737),"",OFFSET('Smelter Reference List'!$C$4,$S737-4,0)&amp;"")</f>
        <v/>
      </c>
      <c r="E737" s="292" t="str">
        <f ca="1">IF(ISERROR($S737),"",OFFSET('Smelter Reference List'!$D$4,$S737-4,0)&amp;"")</f>
        <v/>
      </c>
      <c r="F737" s="292" t="str">
        <f ca="1">IF(ISERROR($S737),"",OFFSET('Smelter Reference List'!$E$4,$S737-4,0))</f>
        <v/>
      </c>
      <c r="G737" s="292" t="str">
        <f ca="1">IF(C737=$U$4,"Enter smelter details", IF(ISERROR($S737),"",OFFSET('Smelter Reference List'!$F$4,$S737-4,0)))</f>
        <v/>
      </c>
      <c r="H737" s="293" t="str">
        <f ca="1">IF(ISERROR($S737),"",OFFSET('Smelter Reference List'!$G$4,$S737-4,0))</f>
        <v/>
      </c>
      <c r="I737" s="294" t="str">
        <f ca="1">IF(ISERROR($S737),"",OFFSET('Smelter Reference List'!$H$4,$S737-4,0))</f>
        <v/>
      </c>
      <c r="J737" s="294" t="str">
        <f ca="1">IF(ISERROR($S737),"",OFFSET('Smelter Reference List'!$I$4,$S737-4,0))</f>
        <v/>
      </c>
      <c r="K737" s="295"/>
      <c r="L737" s="295"/>
      <c r="M737" s="295"/>
      <c r="N737" s="295"/>
      <c r="O737" s="295"/>
      <c r="P737" s="295"/>
      <c r="Q737" s="296"/>
      <c r="R737" s="227"/>
      <c r="S737" s="228" t="e">
        <f>IF(C737="",NA(),MATCH($B737&amp;$C737,'Smelter Reference List'!$J:$J,0))</f>
        <v>#N/A</v>
      </c>
      <c r="T737" s="229"/>
      <c r="U737" s="229">
        <f t="shared" ca="1" si="24"/>
        <v>0</v>
      </c>
      <c r="V737" s="229"/>
      <c r="W737" s="229"/>
      <c r="Y737" s="223" t="str">
        <f t="shared" si="25"/>
        <v/>
      </c>
    </row>
    <row r="738" spans="1:25" s="223" customFormat="1" ht="20.25">
      <c r="A738" s="291"/>
      <c r="B738" s="292" t="str">
        <f>IF(LEN(A738)=0,"",INDEX('Smelter Reference List'!$A:$A,MATCH($A738,'Smelter Reference List'!$E:$E,0)))</f>
        <v/>
      </c>
      <c r="C738" s="298" t="str">
        <f>IF(LEN(A738)=0,"",INDEX('Smelter Reference List'!$C:$C,MATCH($A738,'Smelter Reference List'!$E:$E,0)))</f>
        <v/>
      </c>
      <c r="D738" s="292" t="str">
        <f ca="1">IF(ISERROR($S738),"",OFFSET('Smelter Reference List'!$C$4,$S738-4,0)&amp;"")</f>
        <v/>
      </c>
      <c r="E738" s="292" t="str">
        <f ca="1">IF(ISERROR($S738),"",OFFSET('Smelter Reference List'!$D$4,$S738-4,0)&amp;"")</f>
        <v/>
      </c>
      <c r="F738" s="292" t="str">
        <f ca="1">IF(ISERROR($S738),"",OFFSET('Smelter Reference List'!$E$4,$S738-4,0))</f>
        <v/>
      </c>
      <c r="G738" s="292" t="str">
        <f ca="1">IF(C738=$U$4,"Enter smelter details", IF(ISERROR($S738),"",OFFSET('Smelter Reference List'!$F$4,$S738-4,0)))</f>
        <v/>
      </c>
      <c r="H738" s="293" t="str">
        <f ca="1">IF(ISERROR($S738),"",OFFSET('Smelter Reference List'!$G$4,$S738-4,0))</f>
        <v/>
      </c>
      <c r="I738" s="294" t="str">
        <f ca="1">IF(ISERROR($S738),"",OFFSET('Smelter Reference List'!$H$4,$S738-4,0))</f>
        <v/>
      </c>
      <c r="J738" s="294" t="str">
        <f ca="1">IF(ISERROR($S738),"",OFFSET('Smelter Reference List'!$I$4,$S738-4,0))</f>
        <v/>
      </c>
      <c r="K738" s="295"/>
      <c r="L738" s="295"/>
      <c r="M738" s="295"/>
      <c r="N738" s="295"/>
      <c r="O738" s="295"/>
      <c r="P738" s="295"/>
      <c r="Q738" s="296"/>
      <c r="R738" s="227"/>
      <c r="S738" s="228" t="e">
        <f>IF(C738="",NA(),MATCH($B738&amp;$C738,'Smelter Reference List'!$J:$J,0))</f>
        <v>#N/A</v>
      </c>
      <c r="T738" s="229"/>
      <c r="U738" s="229">
        <f t="shared" ca="1" si="24"/>
        <v>0</v>
      </c>
      <c r="V738" s="229"/>
      <c r="W738" s="229"/>
      <c r="Y738" s="223" t="str">
        <f t="shared" si="25"/>
        <v/>
      </c>
    </row>
    <row r="739" spans="1:25" s="223" customFormat="1" ht="20.25">
      <c r="A739" s="291"/>
      <c r="B739" s="292" t="str">
        <f>IF(LEN(A739)=0,"",INDEX('Smelter Reference List'!$A:$A,MATCH($A739,'Smelter Reference List'!$E:$E,0)))</f>
        <v/>
      </c>
      <c r="C739" s="298" t="str">
        <f>IF(LEN(A739)=0,"",INDEX('Smelter Reference List'!$C:$C,MATCH($A739,'Smelter Reference List'!$E:$E,0)))</f>
        <v/>
      </c>
      <c r="D739" s="292" t="str">
        <f ca="1">IF(ISERROR($S739),"",OFFSET('Smelter Reference List'!$C$4,$S739-4,0)&amp;"")</f>
        <v/>
      </c>
      <c r="E739" s="292" t="str">
        <f ca="1">IF(ISERROR($S739),"",OFFSET('Smelter Reference List'!$D$4,$S739-4,0)&amp;"")</f>
        <v/>
      </c>
      <c r="F739" s="292" t="str">
        <f ca="1">IF(ISERROR($S739),"",OFFSET('Smelter Reference List'!$E$4,$S739-4,0))</f>
        <v/>
      </c>
      <c r="G739" s="292" t="str">
        <f ca="1">IF(C739=$U$4,"Enter smelter details", IF(ISERROR($S739),"",OFFSET('Smelter Reference List'!$F$4,$S739-4,0)))</f>
        <v/>
      </c>
      <c r="H739" s="293" t="str">
        <f ca="1">IF(ISERROR($S739),"",OFFSET('Smelter Reference List'!$G$4,$S739-4,0))</f>
        <v/>
      </c>
      <c r="I739" s="294" t="str">
        <f ca="1">IF(ISERROR($S739),"",OFFSET('Smelter Reference List'!$H$4,$S739-4,0))</f>
        <v/>
      </c>
      <c r="J739" s="294" t="str">
        <f ca="1">IF(ISERROR($S739),"",OFFSET('Smelter Reference List'!$I$4,$S739-4,0))</f>
        <v/>
      </c>
      <c r="K739" s="295"/>
      <c r="L739" s="295"/>
      <c r="M739" s="295"/>
      <c r="N739" s="295"/>
      <c r="O739" s="295"/>
      <c r="P739" s="295"/>
      <c r="Q739" s="296"/>
      <c r="R739" s="227"/>
      <c r="S739" s="228" t="e">
        <f>IF(C739="",NA(),MATCH($B739&amp;$C739,'Smelter Reference List'!$J:$J,0))</f>
        <v>#N/A</v>
      </c>
      <c r="T739" s="229"/>
      <c r="U739" s="229">
        <f t="shared" ca="1" si="24"/>
        <v>0</v>
      </c>
      <c r="V739" s="229"/>
      <c r="W739" s="229"/>
      <c r="Y739" s="223" t="str">
        <f t="shared" si="25"/>
        <v/>
      </c>
    </row>
    <row r="740" spans="1:25" s="223" customFormat="1" ht="20.25">
      <c r="A740" s="291"/>
      <c r="B740" s="292" t="str">
        <f>IF(LEN(A740)=0,"",INDEX('Smelter Reference List'!$A:$A,MATCH($A740,'Smelter Reference List'!$E:$E,0)))</f>
        <v/>
      </c>
      <c r="C740" s="298" t="str">
        <f>IF(LEN(A740)=0,"",INDEX('Smelter Reference List'!$C:$C,MATCH($A740,'Smelter Reference List'!$E:$E,0)))</f>
        <v/>
      </c>
      <c r="D740" s="292" t="str">
        <f ca="1">IF(ISERROR($S740),"",OFFSET('Smelter Reference List'!$C$4,$S740-4,0)&amp;"")</f>
        <v/>
      </c>
      <c r="E740" s="292" t="str">
        <f ca="1">IF(ISERROR($S740),"",OFFSET('Smelter Reference List'!$D$4,$S740-4,0)&amp;"")</f>
        <v/>
      </c>
      <c r="F740" s="292" t="str">
        <f ca="1">IF(ISERROR($S740),"",OFFSET('Smelter Reference List'!$E$4,$S740-4,0))</f>
        <v/>
      </c>
      <c r="G740" s="292" t="str">
        <f ca="1">IF(C740=$U$4,"Enter smelter details", IF(ISERROR($S740),"",OFFSET('Smelter Reference List'!$F$4,$S740-4,0)))</f>
        <v/>
      </c>
      <c r="H740" s="293" t="str">
        <f ca="1">IF(ISERROR($S740),"",OFFSET('Smelter Reference List'!$G$4,$S740-4,0))</f>
        <v/>
      </c>
      <c r="I740" s="294" t="str">
        <f ca="1">IF(ISERROR($S740),"",OFFSET('Smelter Reference List'!$H$4,$S740-4,0))</f>
        <v/>
      </c>
      <c r="J740" s="294" t="str">
        <f ca="1">IF(ISERROR($S740),"",OFFSET('Smelter Reference List'!$I$4,$S740-4,0))</f>
        <v/>
      </c>
      <c r="K740" s="295"/>
      <c r="L740" s="295"/>
      <c r="M740" s="295"/>
      <c r="N740" s="295"/>
      <c r="O740" s="295"/>
      <c r="P740" s="295"/>
      <c r="Q740" s="296"/>
      <c r="R740" s="227"/>
      <c r="S740" s="228" t="e">
        <f>IF(C740="",NA(),MATCH($B740&amp;$C740,'Smelter Reference List'!$J:$J,0))</f>
        <v>#N/A</v>
      </c>
      <c r="T740" s="229"/>
      <c r="U740" s="229">
        <f t="shared" ca="1" si="24"/>
        <v>0</v>
      </c>
      <c r="V740" s="229"/>
      <c r="W740" s="229"/>
      <c r="Y740" s="223" t="str">
        <f t="shared" si="25"/>
        <v/>
      </c>
    </row>
    <row r="741" spans="1:25" s="223" customFormat="1" ht="20.25">
      <c r="A741" s="291"/>
      <c r="B741" s="292" t="str">
        <f>IF(LEN(A741)=0,"",INDEX('Smelter Reference List'!$A:$A,MATCH($A741,'Smelter Reference List'!$E:$E,0)))</f>
        <v/>
      </c>
      <c r="C741" s="298" t="str">
        <f>IF(LEN(A741)=0,"",INDEX('Smelter Reference List'!$C:$C,MATCH($A741,'Smelter Reference List'!$E:$E,0)))</f>
        <v/>
      </c>
      <c r="D741" s="292" t="str">
        <f ca="1">IF(ISERROR($S741),"",OFFSET('Smelter Reference List'!$C$4,$S741-4,0)&amp;"")</f>
        <v/>
      </c>
      <c r="E741" s="292" t="str">
        <f ca="1">IF(ISERROR($S741),"",OFFSET('Smelter Reference List'!$D$4,$S741-4,0)&amp;"")</f>
        <v/>
      </c>
      <c r="F741" s="292" t="str">
        <f ca="1">IF(ISERROR($S741),"",OFFSET('Smelter Reference List'!$E$4,$S741-4,0))</f>
        <v/>
      </c>
      <c r="G741" s="292" t="str">
        <f ca="1">IF(C741=$U$4,"Enter smelter details", IF(ISERROR($S741),"",OFFSET('Smelter Reference List'!$F$4,$S741-4,0)))</f>
        <v/>
      </c>
      <c r="H741" s="293" t="str">
        <f ca="1">IF(ISERROR($S741),"",OFFSET('Smelter Reference List'!$G$4,$S741-4,0))</f>
        <v/>
      </c>
      <c r="I741" s="294" t="str">
        <f ca="1">IF(ISERROR($S741),"",OFFSET('Smelter Reference List'!$H$4,$S741-4,0))</f>
        <v/>
      </c>
      <c r="J741" s="294" t="str">
        <f ca="1">IF(ISERROR($S741),"",OFFSET('Smelter Reference List'!$I$4,$S741-4,0))</f>
        <v/>
      </c>
      <c r="K741" s="295"/>
      <c r="L741" s="295"/>
      <c r="M741" s="295"/>
      <c r="N741" s="295"/>
      <c r="O741" s="295"/>
      <c r="P741" s="295"/>
      <c r="Q741" s="296"/>
      <c r="R741" s="227"/>
      <c r="S741" s="228" t="e">
        <f>IF(C741="",NA(),MATCH($B741&amp;$C741,'Smelter Reference List'!$J:$J,0))</f>
        <v>#N/A</v>
      </c>
      <c r="T741" s="229"/>
      <c r="U741" s="229">
        <f t="shared" ca="1" si="24"/>
        <v>0</v>
      </c>
      <c r="V741" s="229"/>
      <c r="W741" s="229"/>
      <c r="Y741" s="223" t="str">
        <f t="shared" si="25"/>
        <v/>
      </c>
    </row>
    <row r="742" spans="1:25" s="223" customFormat="1" ht="20.25">
      <c r="A742" s="291"/>
      <c r="B742" s="292" t="str">
        <f>IF(LEN(A742)=0,"",INDEX('Smelter Reference List'!$A:$A,MATCH($A742,'Smelter Reference List'!$E:$E,0)))</f>
        <v/>
      </c>
      <c r="C742" s="298" t="str">
        <f>IF(LEN(A742)=0,"",INDEX('Smelter Reference List'!$C:$C,MATCH($A742,'Smelter Reference List'!$E:$E,0)))</f>
        <v/>
      </c>
      <c r="D742" s="292" t="str">
        <f ca="1">IF(ISERROR($S742),"",OFFSET('Smelter Reference List'!$C$4,$S742-4,0)&amp;"")</f>
        <v/>
      </c>
      <c r="E742" s="292" t="str">
        <f ca="1">IF(ISERROR($S742),"",OFFSET('Smelter Reference List'!$D$4,$S742-4,0)&amp;"")</f>
        <v/>
      </c>
      <c r="F742" s="292" t="str">
        <f ca="1">IF(ISERROR($S742),"",OFFSET('Smelter Reference List'!$E$4,$S742-4,0))</f>
        <v/>
      </c>
      <c r="G742" s="292" t="str">
        <f ca="1">IF(C742=$U$4,"Enter smelter details", IF(ISERROR($S742),"",OFFSET('Smelter Reference List'!$F$4,$S742-4,0)))</f>
        <v/>
      </c>
      <c r="H742" s="293" t="str">
        <f ca="1">IF(ISERROR($S742),"",OFFSET('Smelter Reference List'!$G$4,$S742-4,0))</f>
        <v/>
      </c>
      <c r="I742" s="294" t="str">
        <f ca="1">IF(ISERROR($S742),"",OFFSET('Smelter Reference List'!$H$4,$S742-4,0))</f>
        <v/>
      </c>
      <c r="J742" s="294" t="str">
        <f ca="1">IF(ISERROR($S742),"",OFFSET('Smelter Reference List'!$I$4,$S742-4,0))</f>
        <v/>
      </c>
      <c r="K742" s="295"/>
      <c r="L742" s="295"/>
      <c r="M742" s="295"/>
      <c r="N742" s="295"/>
      <c r="O742" s="295"/>
      <c r="P742" s="295"/>
      <c r="Q742" s="296"/>
      <c r="R742" s="227"/>
      <c r="S742" s="228" t="e">
        <f>IF(C742="",NA(),MATCH($B742&amp;$C742,'Smelter Reference List'!$J:$J,0))</f>
        <v>#N/A</v>
      </c>
      <c r="T742" s="229"/>
      <c r="U742" s="229">
        <f t="shared" ca="1" si="24"/>
        <v>0</v>
      </c>
      <c r="V742" s="229"/>
      <c r="W742" s="229"/>
      <c r="Y742" s="223" t="str">
        <f t="shared" si="25"/>
        <v/>
      </c>
    </row>
    <row r="743" spans="1:25" s="223" customFormat="1" ht="20.25">
      <c r="A743" s="291"/>
      <c r="B743" s="292" t="str">
        <f>IF(LEN(A743)=0,"",INDEX('Smelter Reference List'!$A:$A,MATCH($A743,'Smelter Reference List'!$E:$E,0)))</f>
        <v/>
      </c>
      <c r="C743" s="298" t="str">
        <f>IF(LEN(A743)=0,"",INDEX('Smelter Reference List'!$C:$C,MATCH($A743,'Smelter Reference List'!$E:$E,0)))</f>
        <v/>
      </c>
      <c r="D743" s="292" t="str">
        <f ca="1">IF(ISERROR($S743),"",OFFSET('Smelter Reference List'!$C$4,$S743-4,0)&amp;"")</f>
        <v/>
      </c>
      <c r="E743" s="292" t="str">
        <f ca="1">IF(ISERROR($S743),"",OFFSET('Smelter Reference List'!$D$4,$S743-4,0)&amp;"")</f>
        <v/>
      </c>
      <c r="F743" s="292" t="str">
        <f ca="1">IF(ISERROR($S743),"",OFFSET('Smelter Reference List'!$E$4,$S743-4,0))</f>
        <v/>
      </c>
      <c r="G743" s="292" t="str">
        <f ca="1">IF(C743=$U$4,"Enter smelter details", IF(ISERROR($S743),"",OFFSET('Smelter Reference List'!$F$4,$S743-4,0)))</f>
        <v/>
      </c>
      <c r="H743" s="293" t="str">
        <f ca="1">IF(ISERROR($S743),"",OFFSET('Smelter Reference List'!$G$4,$S743-4,0))</f>
        <v/>
      </c>
      <c r="I743" s="294" t="str">
        <f ca="1">IF(ISERROR($S743),"",OFFSET('Smelter Reference List'!$H$4,$S743-4,0))</f>
        <v/>
      </c>
      <c r="J743" s="294" t="str">
        <f ca="1">IF(ISERROR($S743),"",OFFSET('Smelter Reference List'!$I$4,$S743-4,0))</f>
        <v/>
      </c>
      <c r="K743" s="295"/>
      <c r="L743" s="295"/>
      <c r="M743" s="295"/>
      <c r="N743" s="295"/>
      <c r="O743" s="295"/>
      <c r="P743" s="295"/>
      <c r="Q743" s="296"/>
      <c r="R743" s="227"/>
      <c r="S743" s="228" t="e">
        <f>IF(C743="",NA(),MATCH($B743&amp;$C743,'Smelter Reference List'!$J:$J,0))</f>
        <v>#N/A</v>
      </c>
      <c r="T743" s="229"/>
      <c r="U743" s="229">
        <f t="shared" ca="1" si="24"/>
        <v>0</v>
      </c>
      <c r="V743" s="229"/>
      <c r="W743" s="229"/>
      <c r="Y743" s="223" t="str">
        <f t="shared" si="25"/>
        <v/>
      </c>
    </row>
    <row r="744" spans="1:25" s="223" customFormat="1" ht="20.25">
      <c r="A744" s="291"/>
      <c r="B744" s="292" t="str">
        <f>IF(LEN(A744)=0,"",INDEX('Smelter Reference List'!$A:$A,MATCH($A744,'Smelter Reference List'!$E:$E,0)))</f>
        <v/>
      </c>
      <c r="C744" s="298" t="str">
        <f>IF(LEN(A744)=0,"",INDEX('Smelter Reference List'!$C:$C,MATCH($A744,'Smelter Reference List'!$E:$E,0)))</f>
        <v/>
      </c>
      <c r="D744" s="292" t="str">
        <f ca="1">IF(ISERROR($S744),"",OFFSET('Smelter Reference List'!$C$4,$S744-4,0)&amp;"")</f>
        <v/>
      </c>
      <c r="E744" s="292" t="str">
        <f ca="1">IF(ISERROR($S744),"",OFFSET('Smelter Reference List'!$D$4,$S744-4,0)&amp;"")</f>
        <v/>
      </c>
      <c r="F744" s="292" t="str">
        <f ca="1">IF(ISERROR($S744),"",OFFSET('Smelter Reference List'!$E$4,$S744-4,0))</f>
        <v/>
      </c>
      <c r="G744" s="292" t="str">
        <f ca="1">IF(C744=$U$4,"Enter smelter details", IF(ISERROR($S744),"",OFFSET('Smelter Reference List'!$F$4,$S744-4,0)))</f>
        <v/>
      </c>
      <c r="H744" s="293" t="str">
        <f ca="1">IF(ISERROR($S744),"",OFFSET('Smelter Reference List'!$G$4,$S744-4,0))</f>
        <v/>
      </c>
      <c r="I744" s="294" t="str">
        <f ca="1">IF(ISERROR($S744),"",OFFSET('Smelter Reference List'!$H$4,$S744-4,0))</f>
        <v/>
      </c>
      <c r="J744" s="294" t="str">
        <f ca="1">IF(ISERROR($S744),"",OFFSET('Smelter Reference List'!$I$4,$S744-4,0))</f>
        <v/>
      </c>
      <c r="K744" s="295"/>
      <c r="L744" s="295"/>
      <c r="M744" s="295"/>
      <c r="N744" s="295"/>
      <c r="O744" s="295"/>
      <c r="P744" s="295"/>
      <c r="Q744" s="296"/>
      <c r="R744" s="227"/>
      <c r="S744" s="228" t="e">
        <f>IF(C744="",NA(),MATCH($B744&amp;$C744,'Smelter Reference List'!$J:$J,0))</f>
        <v>#N/A</v>
      </c>
      <c r="T744" s="229"/>
      <c r="U744" s="229">
        <f t="shared" ca="1" si="24"/>
        <v>0</v>
      </c>
      <c r="V744" s="229"/>
      <c r="W744" s="229"/>
      <c r="Y744" s="223" t="str">
        <f t="shared" si="25"/>
        <v/>
      </c>
    </row>
    <row r="745" spans="1:25" s="223" customFormat="1" ht="20.25">
      <c r="A745" s="291"/>
      <c r="B745" s="292" t="str">
        <f>IF(LEN(A745)=0,"",INDEX('Smelter Reference List'!$A:$A,MATCH($A745,'Smelter Reference List'!$E:$E,0)))</f>
        <v/>
      </c>
      <c r="C745" s="298" t="str">
        <f>IF(LEN(A745)=0,"",INDEX('Smelter Reference List'!$C:$C,MATCH($A745,'Smelter Reference List'!$E:$E,0)))</f>
        <v/>
      </c>
      <c r="D745" s="292" t="str">
        <f ca="1">IF(ISERROR($S745),"",OFFSET('Smelter Reference List'!$C$4,$S745-4,0)&amp;"")</f>
        <v/>
      </c>
      <c r="E745" s="292" t="str">
        <f ca="1">IF(ISERROR($S745),"",OFFSET('Smelter Reference List'!$D$4,$S745-4,0)&amp;"")</f>
        <v/>
      </c>
      <c r="F745" s="292" t="str">
        <f ca="1">IF(ISERROR($S745),"",OFFSET('Smelter Reference List'!$E$4,$S745-4,0))</f>
        <v/>
      </c>
      <c r="G745" s="292" t="str">
        <f ca="1">IF(C745=$U$4,"Enter smelter details", IF(ISERROR($S745),"",OFFSET('Smelter Reference List'!$F$4,$S745-4,0)))</f>
        <v/>
      </c>
      <c r="H745" s="293" t="str">
        <f ca="1">IF(ISERROR($S745),"",OFFSET('Smelter Reference List'!$G$4,$S745-4,0))</f>
        <v/>
      </c>
      <c r="I745" s="294" t="str">
        <f ca="1">IF(ISERROR($S745),"",OFFSET('Smelter Reference List'!$H$4,$S745-4,0))</f>
        <v/>
      </c>
      <c r="J745" s="294" t="str">
        <f ca="1">IF(ISERROR($S745),"",OFFSET('Smelter Reference List'!$I$4,$S745-4,0))</f>
        <v/>
      </c>
      <c r="K745" s="295"/>
      <c r="L745" s="295"/>
      <c r="M745" s="295"/>
      <c r="N745" s="295"/>
      <c r="O745" s="295"/>
      <c r="P745" s="295"/>
      <c r="Q745" s="296"/>
      <c r="R745" s="227"/>
      <c r="S745" s="228" t="e">
        <f>IF(C745="",NA(),MATCH($B745&amp;$C745,'Smelter Reference List'!$J:$J,0))</f>
        <v>#N/A</v>
      </c>
      <c r="T745" s="229"/>
      <c r="U745" s="229">
        <f t="shared" ca="1" si="24"/>
        <v>0</v>
      </c>
      <c r="V745" s="229"/>
      <c r="W745" s="229"/>
      <c r="Y745" s="223" t="str">
        <f t="shared" si="25"/>
        <v/>
      </c>
    </row>
    <row r="746" spans="1:25" s="223" customFormat="1" ht="20.25">
      <c r="A746" s="291"/>
      <c r="B746" s="292" t="str">
        <f>IF(LEN(A746)=0,"",INDEX('Smelter Reference List'!$A:$A,MATCH($A746,'Smelter Reference List'!$E:$E,0)))</f>
        <v/>
      </c>
      <c r="C746" s="298" t="str">
        <f>IF(LEN(A746)=0,"",INDEX('Smelter Reference List'!$C:$C,MATCH($A746,'Smelter Reference List'!$E:$E,0)))</f>
        <v/>
      </c>
      <c r="D746" s="292" t="str">
        <f ca="1">IF(ISERROR($S746),"",OFFSET('Smelter Reference List'!$C$4,$S746-4,0)&amp;"")</f>
        <v/>
      </c>
      <c r="E746" s="292" t="str">
        <f ca="1">IF(ISERROR($S746),"",OFFSET('Smelter Reference List'!$D$4,$S746-4,0)&amp;"")</f>
        <v/>
      </c>
      <c r="F746" s="292" t="str">
        <f ca="1">IF(ISERROR($S746),"",OFFSET('Smelter Reference List'!$E$4,$S746-4,0))</f>
        <v/>
      </c>
      <c r="G746" s="292" t="str">
        <f ca="1">IF(C746=$U$4,"Enter smelter details", IF(ISERROR($S746),"",OFFSET('Smelter Reference List'!$F$4,$S746-4,0)))</f>
        <v/>
      </c>
      <c r="H746" s="293" t="str">
        <f ca="1">IF(ISERROR($S746),"",OFFSET('Smelter Reference List'!$G$4,$S746-4,0))</f>
        <v/>
      </c>
      <c r="I746" s="294" t="str">
        <f ca="1">IF(ISERROR($S746),"",OFFSET('Smelter Reference List'!$H$4,$S746-4,0))</f>
        <v/>
      </c>
      <c r="J746" s="294" t="str">
        <f ca="1">IF(ISERROR($S746),"",OFFSET('Smelter Reference List'!$I$4,$S746-4,0))</f>
        <v/>
      </c>
      <c r="K746" s="295"/>
      <c r="L746" s="295"/>
      <c r="M746" s="295"/>
      <c r="N746" s="295"/>
      <c r="O746" s="295"/>
      <c r="P746" s="295"/>
      <c r="Q746" s="296"/>
      <c r="R746" s="227"/>
      <c r="S746" s="228" t="e">
        <f>IF(C746="",NA(),MATCH($B746&amp;$C746,'Smelter Reference List'!$J:$J,0))</f>
        <v>#N/A</v>
      </c>
      <c r="T746" s="229"/>
      <c r="U746" s="229">
        <f t="shared" ca="1" si="24"/>
        <v>0</v>
      </c>
      <c r="V746" s="229"/>
      <c r="W746" s="229"/>
      <c r="Y746" s="223" t="str">
        <f t="shared" si="25"/>
        <v/>
      </c>
    </row>
    <row r="747" spans="1:25" s="223" customFormat="1" ht="20.25">
      <c r="A747" s="291"/>
      <c r="B747" s="292" t="str">
        <f>IF(LEN(A747)=0,"",INDEX('Smelter Reference List'!$A:$A,MATCH($A747,'Smelter Reference List'!$E:$E,0)))</f>
        <v/>
      </c>
      <c r="C747" s="298" t="str">
        <f>IF(LEN(A747)=0,"",INDEX('Smelter Reference List'!$C:$C,MATCH($A747,'Smelter Reference List'!$E:$E,0)))</f>
        <v/>
      </c>
      <c r="D747" s="292" t="str">
        <f ca="1">IF(ISERROR($S747),"",OFFSET('Smelter Reference List'!$C$4,$S747-4,0)&amp;"")</f>
        <v/>
      </c>
      <c r="E747" s="292" t="str">
        <f ca="1">IF(ISERROR($S747),"",OFFSET('Smelter Reference List'!$D$4,$S747-4,0)&amp;"")</f>
        <v/>
      </c>
      <c r="F747" s="292" t="str">
        <f ca="1">IF(ISERROR($S747),"",OFFSET('Smelter Reference List'!$E$4,$S747-4,0))</f>
        <v/>
      </c>
      <c r="G747" s="292" t="str">
        <f ca="1">IF(C747=$U$4,"Enter smelter details", IF(ISERROR($S747),"",OFFSET('Smelter Reference List'!$F$4,$S747-4,0)))</f>
        <v/>
      </c>
      <c r="H747" s="293" t="str">
        <f ca="1">IF(ISERROR($S747),"",OFFSET('Smelter Reference List'!$G$4,$S747-4,0))</f>
        <v/>
      </c>
      <c r="I747" s="294" t="str">
        <f ca="1">IF(ISERROR($S747),"",OFFSET('Smelter Reference List'!$H$4,$S747-4,0))</f>
        <v/>
      </c>
      <c r="J747" s="294" t="str">
        <f ca="1">IF(ISERROR($S747),"",OFFSET('Smelter Reference List'!$I$4,$S747-4,0))</f>
        <v/>
      </c>
      <c r="K747" s="295"/>
      <c r="L747" s="295"/>
      <c r="M747" s="295"/>
      <c r="N747" s="295"/>
      <c r="O747" s="295"/>
      <c r="P747" s="295"/>
      <c r="Q747" s="296"/>
      <c r="R747" s="227"/>
      <c r="S747" s="228" t="e">
        <f>IF(C747="",NA(),MATCH($B747&amp;$C747,'Smelter Reference List'!$J:$J,0))</f>
        <v>#N/A</v>
      </c>
      <c r="T747" s="229"/>
      <c r="U747" s="229">
        <f t="shared" ca="1" si="24"/>
        <v>0</v>
      </c>
      <c r="V747" s="229"/>
      <c r="W747" s="229"/>
      <c r="Y747" s="223" t="str">
        <f t="shared" si="25"/>
        <v/>
      </c>
    </row>
    <row r="748" spans="1:25" s="223" customFormat="1" ht="20.25">
      <c r="A748" s="291"/>
      <c r="B748" s="292" t="str">
        <f>IF(LEN(A748)=0,"",INDEX('Smelter Reference List'!$A:$A,MATCH($A748,'Smelter Reference List'!$E:$E,0)))</f>
        <v/>
      </c>
      <c r="C748" s="298" t="str">
        <f>IF(LEN(A748)=0,"",INDEX('Smelter Reference List'!$C:$C,MATCH($A748,'Smelter Reference List'!$E:$E,0)))</f>
        <v/>
      </c>
      <c r="D748" s="292" t="str">
        <f ca="1">IF(ISERROR($S748),"",OFFSET('Smelter Reference List'!$C$4,$S748-4,0)&amp;"")</f>
        <v/>
      </c>
      <c r="E748" s="292" t="str">
        <f ca="1">IF(ISERROR($S748),"",OFFSET('Smelter Reference List'!$D$4,$S748-4,0)&amp;"")</f>
        <v/>
      </c>
      <c r="F748" s="292" t="str">
        <f ca="1">IF(ISERROR($S748),"",OFFSET('Smelter Reference List'!$E$4,$S748-4,0))</f>
        <v/>
      </c>
      <c r="G748" s="292" t="str">
        <f ca="1">IF(C748=$U$4,"Enter smelter details", IF(ISERROR($S748),"",OFFSET('Smelter Reference List'!$F$4,$S748-4,0)))</f>
        <v/>
      </c>
      <c r="H748" s="293" t="str">
        <f ca="1">IF(ISERROR($S748),"",OFFSET('Smelter Reference List'!$G$4,$S748-4,0))</f>
        <v/>
      </c>
      <c r="I748" s="294" t="str">
        <f ca="1">IF(ISERROR($S748),"",OFFSET('Smelter Reference List'!$H$4,$S748-4,0))</f>
        <v/>
      </c>
      <c r="J748" s="294" t="str">
        <f ca="1">IF(ISERROR($S748),"",OFFSET('Smelter Reference List'!$I$4,$S748-4,0))</f>
        <v/>
      </c>
      <c r="K748" s="295"/>
      <c r="L748" s="295"/>
      <c r="M748" s="295"/>
      <c r="N748" s="295"/>
      <c r="O748" s="295"/>
      <c r="P748" s="295"/>
      <c r="Q748" s="296"/>
      <c r="R748" s="227"/>
      <c r="S748" s="228" t="e">
        <f>IF(C748="",NA(),MATCH($B748&amp;$C748,'Smelter Reference List'!$J:$J,0))</f>
        <v>#N/A</v>
      </c>
      <c r="T748" s="229"/>
      <c r="U748" s="229">
        <f t="shared" ca="1" si="24"/>
        <v>0</v>
      </c>
      <c r="V748" s="229"/>
      <c r="W748" s="229"/>
      <c r="Y748" s="223" t="str">
        <f t="shared" si="25"/>
        <v/>
      </c>
    </row>
    <row r="749" spans="1:25" s="223" customFormat="1" ht="20.25">
      <c r="A749" s="291"/>
      <c r="B749" s="292" t="str">
        <f>IF(LEN(A749)=0,"",INDEX('Smelter Reference List'!$A:$A,MATCH($A749,'Smelter Reference List'!$E:$E,0)))</f>
        <v/>
      </c>
      <c r="C749" s="298" t="str">
        <f>IF(LEN(A749)=0,"",INDEX('Smelter Reference List'!$C:$C,MATCH($A749,'Smelter Reference List'!$E:$E,0)))</f>
        <v/>
      </c>
      <c r="D749" s="292" t="str">
        <f ca="1">IF(ISERROR($S749),"",OFFSET('Smelter Reference List'!$C$4,$S749-4,0)&amp;"")</f>
        <v/>
      </c>
      <c r="E749" s="292" t="str">
        <f ca="1">IF(ISERROR($S749),"",OFFSET('Smelter Reference List'!$D$4,$S749-4,0)&amp;"")</f>
        <v/>
      </c>
      <c r="F749" s="292" t="str">
        <f ca="1">IF(ISERROR($S749),"",OFFSET('Smelter Reference List'!$E$4,$S749-4,0))</f>
        <v/>
      </c>
      <c r="G749" s="292" t="str">
        <f ca="1">IF(C749=$U$4,"Enter smelter details", IF(ISERROR($S749),"",OFFSET('Smelter Reference List'!$F$4,$S749-4,0)))</f>
        <v/>
      </c>
      <c r="H749" s="293" t="str">
        <f ca="1">IF(ISERROR($S749),"",OFFSET('Smelter Reference List'!$G$4,$S749-4,0))</f>
        <v/>
      </c>
      <c r="I749" s="294" t="str">
        <f ca="1">IF(ISERROR($S749),"",OFFSET('Smelter Reference List'!$H$4,$S749-4,0))</f>
        <v/>
      </c>
      <c r="J749" s="294" t="str">
        <f ca="1">IF(ISERROR($S749),"",OFFSET('Smelter Reference List'!$I$4,$S749-4,0))</f>
        <v/>
      </c>
      <c r="K749" s="295"/>
      <c r="L749" s="295"/>
      <c r="M749" s="295"/>
      <c r="N749" s="295"/>
      <c r="O749" s="295"/>
      <c r="P749" s="295"/>
      <c r="Q749" s="296"/>
      <c r="R749" s="227"/>
      <c r="S749" s="228" t="e">
        <f>IF(C749="",NA(),MATCH($B749&amp;$C749,'Smelter Reference List'!$J:$J,0))</f>
        <v>#N/A</v>
      </c>
      <c r="T749" s="229"/>
      <c r="U749" s="229">
        <f t="shared" ca="1" si="24"/>
        <v>0</v>
      </c>
      <c r="V749" s="229"/>
      <c r="W749" s="229"/>
      <c r="Y749" s="223" t="str">
        <f t="shared" si="25"/>
        <v/>
      </c>
    </row>
    <row r="750" spans="1:25" s="223" customFormat="1" ht="20.25">
      <c r="A750" s="291"/>
      <c r="B750" s="292" t="str">
        <f>IF(LEN(A750)=0,"",INDEX('Smelter Reference List'!$A:$A,MATCH($A750,'Smelter Reference List'!$E:$E,0)))</f>
        <v/>
      </c>
      <c r="C750" s="298" t="str">
        <f>IF(LEN(A750)=0,"",INDEX('Smelter Reference List'!$C:$C,MATCH($A750,'Smelter Reference List'!$E:$E,0)))</f>
        <v/>
      </c>
      <c r="D750" s="292" t="str">
        <f ca="1">IF(ISERROR($S750),"",OFFSET('Smelter Reference List'!$C$4,$S750-4,0)&amp;"")</f>
        <v/>
      </c>
      <c r="E750" s="292" t="str">
        <f ca="1">IF(ISERROR($S750),"",OFFSET('Smelter Reference List'!$D$4,$S750-4,0)&amp;"")</f>
        <v/>
      </c>
      <c r="F750" s="292" t="str">
        <f ca="1">IF(ISERROR($S750),"",OFFSET('Smelter Reference List'!$E$4,$S750-4,0))</f>
        <v/>
      </c>
      <c r="G750" s="292" t="str">
        <f ca="1">IF(C750=$U$4,"Enter smelter details", IF(ISERROR($S750),"",OFFSET('Smelter Reference List'!$F$4,$S750-4,0)))</f>
        <v/>
      </c>
      <c r="H750" s="293" t="str">
        <f ca="1">IF(ISERROR($S750),"",OFFSET('Smelter Reference List'!$G$4,$S750-4,0))</f>
        <v/>
      </c>
      <c r="I750" s="294" t="str">
        <f ca="1">IF(ISERROR($S750),"",OFFSET('Smelter Reference List'!$H$4,$S750-4,0))</f>
        <v/>
      </c>
      <c r="J750" s="294" t="str">
        <f ca="1">IF(ISERROR($S750),"",OFFSET('Smelter Reference List'!$I$4,$S750-4,0))</f>
        <v/>
      </c>
      <c r="K750" s="295"/>
      <c r="L750" s="295"/>
      <c r="M750" s="295"/>
      <c r="N750" s="295"/>
      <c r="O750" s="295"/>
      <c r="P750" s="295"/>
      <c r="Q750" s="296"/>
      <c r="R750" s="227"/>
      <c r="S750" s="228" t="e">
        <f>IF(C750="",NA(),MATCH($B750&amp;$C750,'Smelter Reference List'!$J:$J,0))</f>
        <v>#N/A</v>
      </c>
      <c r="T750" s="229"/>
      <c r="U750" s="229">
        <f t="shared" ca="1" si="24"/>
        <v>0</v>
      </c>
      <c r="V750" s="229"/>
      <c r="W750" s="229"/>
      <c r="Y750" s="223" t="str">
        <f t="shared" si="25"/>
        <v/>
      </c>
    </row>
    <row r="751" spans="1:25" s="223" customFormat="1" ht="20.25">
      <c r="A751" s="291"/>
      <c r="B751" s="292" t="str">
        <f>IF(LEN(A751)=0,"",INDEX('Smelter Reference List'!$A:$A,MATCH($A751,'Smelter Reference List'!$E:$E,0)))</f>
        <v/>
      </c>
      <c r="C751" s="298" t="str">
        <f>IF(LEN(A751)=0,"",INDEX('Smelter Reference List'!$C:$C,MATCH($A751,'Smelter Reference List'!$E:$E,0)))</f>
        <v/>
      </c>
      <c r="D751" s="292" t="str">
        <f ca="1">IF(ISERROR($S751),"",OFFSET('Smelter Reference List'!$C$4,$S751-4,0)&amp;"")</f>
        <v/>
      </c>
      <c r="E751" s="292" t="str">
        <f ca="1">IF(ISERROR($S751),"",OFFSET('Smelter Reference List'!$D$4,$S751-4,0)&amp;"")</f>
        <v/>
      </c>
      <c r="F751" s="292" t="str">
        <f ca="1">IF(ISERROR($S751),"",OFFSET('Smelter Reference List'!$E$4,$S751-4,0))</f>
        <v/>
      </c>
      <c r="G751" s="292" t="str">
        <f ca="1">IF(C751=$U$4,"Enter smelter details", IF(ISERROR($S751),"",OFFSET('Smelter Reference List'!$F$4,$S751-4,0)))</f>
        <v/>
      </c>
      <c r="H751" s="293" t="str">
        <f ca="1">IF(ISERROR($S751),"",OFFSET('Smelter Reference List'!$G$4,$S751-4,0))</f>
        <v/>
      </c>
      <c r="I751" s="294" t="str">
        <f ca="1">IF(ISERROR($S751),"",OFFSET('Smelter Reference List'!$H$4,$S751-4,0))</f>
        <v/>
      </c>
      <c r="J751" s="294" t="str">
        <f ca="1">IF(ISERROR($S751),"",OFFSET('Smelter Reference List'!$I$4,$S751-4,0))</f>
        <v/>
      </c>
      <c r="K751" s="295"/>
      <c r="L751" s="295"/>
      <c r="M751" s="295"/>
      <c r="N751" s="295"/>
      <c r="O751" s="295"/>
      <c r="P751" s="295"/>
      <c r="Q751" s="296"/>
      <c r="R751" s="227"/>
      <c r="S751" s="228" t="e">
        <f>IF(C751="",NA(),MATCH($B751&amp;$C751,'Smelter Reference List'!$J:$J,0))</f>
        <v>#N/A</v>
      </c>
      <c r="T751" s="229"/>
      <c r="U751" s="229">
        <f t="shared" ca="1" si="24"/>
        <v>0</v>
      </c>
      <c r="V751" s="229"/>
      <c r="W751" s="229"/>
      <c r="Y751" s="223" t="str">
        <f t="shared" si="25"/>
        <v/>
      </c>
    </row>
    <row r="752" spans="1:25" s="223" customFormat="1" ht="20.25">
      <c r="A752" s="291"/>
      <c r="B752" s="292" t="str">
        <f>IF(LEN(A752)=0,"",INDEX('Smelter Reference List'!$A:$A,MATCH($A752,'Smelter Reference List'!$E:$E,0)))</f>
        <v/>
      </c>
      <c r="C752" s="298" t="str">
        <f>IF(LEN(A752)=0,"",INDEX('Smelter Reference List'!$C:$C,MATCH($A752,'Smelter Reference List'!$E:$E,0)))</f>
        <v/>
      </c>
      <c r="D752" s="292" t="str">
        <f ca="1">IF(ISERROR($S752),"",OFFSET('Smelter Reference List'!$C$4,$S752-4,0)&amp;"")</f>
        <v/>
      </c>
      <c r="E752" s="292" t="str">
        <f ca="1">IF(ISERROR($S752),"",OFFSET('Smelter Reference List'!$D$4,$S752-4,0)&amp;"")</f>
        <v/>
      </c>
      <c r="F752" s="292" t="str">
        <f ca="1">IF(ISERROR($S752),"",OFFSET('Smelter Reference List'!$E$4,$S752-4,0))</f>
        <v/>
      </c>
      <c r="G752" s="292" t="str">
        <f ca="1">IF(C752=$U$4,"Enter smelter details", IF(ISERROR($S752),"",OFFSET('Smelter Reference List'!$F$4,$S752-4,0)))</f>
        <v/>
      </c>
      <c r="H752" s="293" t="str">
        <f ca="1">IF(ISERROR($S752),"",OFFSET('Smelter Reference List'!$G$4,$S752-4,0))</f>
        <v/>
      </c>
      <c r="I752" s="294" t="str">
        <f ca="1">IF(ISERROR($S752),"",OFFSET('Smelter Reference List'!$H$4,$S752-4,0))</f>
        <v/>
      </c>
      <c r="J752" s="294" t="str">
        <f ca="1">IF(ISERROR($S752),"",OFFSET('Smelter Reference List'!$I$4,$S752-4,0))</f>
        <v/>
      </c>
      <c r="K752" s="295"/>
      <c r="L752" s="295"/>
      <c r="M752" s="295"/>
      <c r="N752" s="295"/>
      <c r="O752" s="295"/>
      <c r="P752" s="295"/>
      <c r="Q752" s="296"/>
      <c r="R752" s="227"/>
      <c r="S752" s="228" t="e">
        <f>IF(C752="",NA(),MATCH($B752&amp;$C752,'Smelter Reference List'!$J:$J,0))</f>
        <v>#N/A</v>
      </c>
      <c r="T752" s="229"/>
      <c r="U752" s="229">
        <f t="shared" ca="1" si="24"/>
        <v>0</v>
      </c>
      <c r="V752" s="229"/>
      <c r="W752" s="229"/>
      <c r="Y752" s="223" t="str">
        <f t="shared" si="25"/>
        <v/>
      </c>
    </row>
    <row r="753" spans="1:25" s="223" customFormat="1" ht="20.25">
      <c r="A753" s="291"/>
      <c r="B753" s="292" t="str">
        <f>IF(LEN(A753)=0,"",INDEX('Smelter Reference List'!$A:$A,MATCH($A753,'Smelter Reference List'!$E:$E,0)))</f>
        <v/>
      </c>
      <c r="C753" s="298" t="str">
        <f>IF(LEN(A753)=0,"",INDEX('Smelter Reference List'!$C:$C,MATCH($A753,'Smelter Reference List'!$E:$E,0)))</f>
        <v/>
      </c>
      <c r="D753" s="292" t="str">
        <f ca="1">IF(ISERROR($S753),"",OFFSET('Smelter Reference List'!$C$4,$S753-4,0)&amp;"")</f>
        <v/>
      </c>
      <c r="E753" s="292" t="str">
        <f ca="1">IF(ISERROR($S753),"",OFFSET('Smelter Reference List'!$D$4,$S753-4,0)&amp;"")</f>
        <v/>
      </c>
      <c r="F753" s="292" t="str">
        <f ca="1">IF(ISERROR($S753),"",OFFSET('Smelter Reference List'!$E$4,$S753-4,0))</f>
        <v/>
      </c>
      <c r="G753" s="292" t="str">
        <f ca="1">IF(C753=$U$4,"Enter smelter details", IF(ISERROR($S753),"",OFFSET('Smelter Reference List'!$F$4,$S753-4,0)))</f>
        <v/>
      </c>
      <c r="H753" s="293" t="str">
        <f ca="1">IF(ISERROR($S753),"",OFFSET('Smelter Reference List'!$G$4,$S753-4,0))</f>
        <v/>
      </c>
      <c r="I753" s="294" t="str">
        <f ca="1">IF(ISERROR($S753),"",OFFSET('Smelter Reference List'!$H$4,$S753-4,0))</f>
        <v/>
      </c>
      <c r="J753" s="294" t="str">
        <f ca="1">IF(ISERROR($S753),"",OFFSET('Smelter Reference List'!$I$4,$S753-4,0))</f>
        <v/>
      </c>
      <c r="K753" s="295"/>
      <c r="L753" s="295"/>
      <c r="M753" s="295"/>
      <c r="N753" s="295"/>
      <c r="O753" s="295"/>
      <c r="P753" s="295"/>
      <c r="Q753" s="296"/>
      <c r="R753" s="227"/>
      <c r="S753" s="228" t="e">
        <f>IF(C753="",NA(),MATCH($B753&amp;$C753,'Smelter Reference List'!$J:$J,0))</f>
        <v>#N/A</v>
      </c>
      <c r="T753" s="229"/>
      <c r="U753" s="229">
        <f t="shared" ca="1" si="24"/>
        <v>0</v>
      </c>
      <c r="V753" s="229"/>
      <c r="W753" s="229"/>
      <c r="Y753" s="223" t="str">
        <f t="shared" si="25"/>
        <v/>
      </c>
    </row>
    <row r="754" spans="1:25" s="223" customFormat="1" ht="20.25">
      <c r="A754" s="291"/>
      <c r="B754" s="292" t="str">
        <f>IF(LEN(A754)=0,"",INDEX('Smelter Reference List'!$A:$A,MATCH($A754,'Smelter Reference List'!$E:$E,0)))</f>
        <v/>
      </c>
      <c r="C754" s="298" t="str">
        <f>IF(LEN(A754)=0,"",INDEX('Smelter Reference List'!$C:$C,MATCH($A754,'Smelter Reference List'!$E:$E,0)))</f>
        <v/>
      </c>
      <c r="D754" s="292" t="str">
        <f ca="1">IF(ISERROR($S754),"",OFFSET('Smelter Reference List'!$C$4,$S754-4,0)&amp;"")</f>
        <v/>
      </c>
      <c r="E754" s="292" t="str">
        <f ca="1">IF(ISERROR($S754),"",OFFSET('Smelter Reference List'!$D$4,$S754-4,0)&amp;"")</f>
        <v/>
      </c>
      <c r="F754" s="292" t="str">
        <f ca="1">IF(ISERROR($S754),"",OFFSET('Smelter Reference List'!$E$4,$S754-4,0))</f>
        <v/>
      </c>
      <c r="G754" s="292" t="str">
        <f ca="1">IF(C754=$U$4,"Enter smelter details", IF(ISERROR($S754),"",OFFSET('Smelter Reference List'!$F$4,$S754-4,0)))</f>
        <v/>
      </c>
      <c r="H754" s="293" t="str">
        <f ca="1">IF(ISERROR($S754),"",OFFSET('Smelter Reference List'!$G$4,$S754-4,0))</f>
        <v/>
      </c>
      <c r="I754" s="294" t="str">
        <f ca="1">IF(ISERROR($S754),"",OFFSET('Smelter Reference List'!$H$4,$S754-4,0))</f>
        <v/>
      </c>
      <c r="J754" s="294" t="str">
        <f ca="1">IF(ISERROR($S754),"",OFFSET('Smelter Reference List'!$I$4,$S754-4,0))</f>
        <v/>
      </c>
      <c r="K754" s="295"/>
      <c r="L754" s="295"/>
      <c r="M754" s="295"/>
      <c r="N754" s="295"/>
      <c r="O754" s="295"/>
      <c r="P754" s="295"/>
      <c r="Q754" s="296"/>
      <c r="R754" s="227"/>
      <c r="S754" s="228" t="e">
        <f>IF(C754="",NA(),MATCH($B754&amp;$C754,'Smelter Reference List'!$J:$J,0))</f>
        <v>#N/A</v>
      </c>
      <c r="T754" s="229"/>
      <c r="U754" s="229">
        <f t="shared" ca="1" si="24"/>
        <v>0</v>
      </c>
      <c r="V754" s="229"/>
      <c r="W754" s="229"/>
      <c r="Y754" s="223" t="str">
        <f t="shared" si="25"/>
        <v/>
      </c>
    </row>
    <row r="755" spans="1:25" s="223" customFormat="1" ht="20.25">
      <c r="A755" s="291"/>
      <c r="B755" s="292" t="str">
        <f>IF(LEN(A755)=0,"",INDEX('Smelter Reference List'!$A:$A,MATCH($A755,'Smelter Reference List'!$E:$E,0)))</f>
        <v/>
      </c>
      <c r="C755" s="298" t="str">
        <f>IF(LEN(A755)=0,"",INDEX('Smelter Reference List'!$C:$C,MATCH($A755,'Smelter Reference List'!$E:$E,0)))</f>
        <v/>
      </c>
      <c r="D755" s="292" t="str">
        <f ca="1">IF(ISERROR($S755),"",OFFSET('Smelter Reference List'!$C$4,$S755-4,0)&amp;"")</f>
        <v/>
      </c>
      <c r="E755" s="292" t="str">
        <f ca="1">IF(ISERROR($S755),"",OFFSET('Smelter Reference List'!$D$4,$S755-4,0)&amp;"")</f>
        <v/>
      </c>
      <c r="F755" s="292" t="str">
        <f ca="1">IF(ISERROR($S755),"",OFFSET('Smelter Reference List'!$E$4,$S755-4,0))</f>
        <v/>
      </c>
      <c r="G755" s="292" t="str">
        <f ca="1">IF(C755=$U$4,"Enter smelter details", IF(ISERROR($S755),"",OFFSET('Smelter Reference List'!$F$4,$S755-4,0)))</f>
        <v/>
      </c>
      <c r="H755" s="293" t="str">
        <f ca="1">IF(ISERROR($S755),"",OFFSET('Smelter Reference List'!$G$4,$S755-4,0))</f>
        <v/>
      </c>
      <c r="I755" s="294" t="str">
        <f ca="1">IF(ISERROR($S755),"",OFFSET('Smelter Reference List'!$H$4,$S755-4,0))</f>
        <v/>
      </c>
      <c r="J755" s="294" t="str">
        <f ca="1">IF(ISERROR($S755),"",OFFSET('Smelter Reference List'!$I$4,$S755-4,0))</f>
        <v/>
      </c>
      <c r="K755" s="295"/>
      <c r="L755" s="295"/>
      <c r="M755" s="295"/>
      <c r="N755" s="295"/>
      <c r="O755" s="295"/>
      <c r="P755" s="295"/>
      <c r="Q755" s="296"/>
      <c r="R755" s="227"/>
      <c r="S755" s="228" t="e">
        <f>IF(C755="",NA(),MATCH($B755&amp;$C755,'Smelter Reference List'!$J:$J,0))</f>
        <v>#N/A</v>
      </c>
      <c r="T755" s="229"/>
      <c r="U755" s="229">
        <f t="shared" ca="1" si="24"/>
        <v>0</v>
      </c>
      <c r="V755" s="229"/>
      <c r="W755" s="229"/>
      <c r="Y755" s="223" t="str">
        <f t="shared" si="25"/>
        <v/>
      </c>
    </row>
    <row r="756" spans="1:25" s="223" customFormat="1" ht="20.25">
      <c r="A756" s="291"/>
      <c r="B756" s="292" t="str">
        <f>IF(LEN(A756)=0,"",INDEX('Smelter Reference List'!$A:$A,MATCH($A756,'Smelter Reference List'!$E:$E,0)))</f>
        <v/>
      </c>
      <c r="C756" s="298" t="str">
        <f>IF(LEN(A756)=0,"",INDEX('Smelter Reference List'!$C:$C,MATCH($A756,'Smelter Reference List'!$E:$E,0)))</f>
        <v/>
      </c>
      <c r="D756" s="292" t="str">
        <f ca="1">IF(ISERROR($S756),"",OFFSET('Smelter Reference List'!$C$4,$S756-4,0)&amp;"")</f>
        <v/>
      </c>
      <c r="E756" s="292" t="str">
        <f ca="1">IF(ISERROR($S756),"",OFFSET('Smelter Reference List'!$D$4,$S756-4,0)&amp;"")</f>
        <v/>
      </c>
      <c r="F756" s="292" t="str">
        <f ca="1">IF(ISERROR($S756),"",OFFSET('Smelter Reference List'!$E$4,$S756-4,0))</f>
        <v/>
      </c>
      <c r="G756" s="292" t="str">
        <f ca="1">IF(C756=$U$4,"Enter smelter details", IF(ISERROR($S756),"",OFFSET('Smelter Reference List'!$F$4,$S756-4,0)))</f>
        <v/>
      </c>
      <c r="H756" s="293" t="str">
        <f ca="1">IF(ISERROR($S756),"",OFFSET('Smelter Reference List'!$G$4,$S756-4,0))</f>
        <v/>
      </c>
      <c r="I756" s="294" t="str">
        <f ca="1">IF(ISERROR($S756),"",OFFSET('Smelter Reference List'!$H$4,$S756-4,0))</f>
        <v/>
      </c>
      <c r="J756" s="294" t="str">
        <f ca="1">IF(ISERROR($S756),"",OFFSET('Smelter Reference List'!$I$4,$S756-4,0))</f>
        <v/>
      </c>
      <c r="K756" s="295"/>
      <c r="L756" s="295"/>
      <c r="M756" s="295"/>
      <c r="N756" s="295"/>
      <c r="O756" s="295"/>
      <c r="P756" s="295"/>
      <c r="Q756" s="296"/>
      <c r="R756" s="227"/>
      <c r="S756" s="228" t="e">
        <f>IF(C756="",NA(),MATCH($B756&amp;$C756,'Smelter Reference List'!$J:$J,0))</f>
        <v>#N/A</v>
      </c>
      <c r="T756" s="229"/>
      <c r="U756" s="229">
        <f t="shared" ca="1" si="24"/>
        <v>0</v>
      </c>
      <c r="V756" s="229"/>
      <c r="W756" s="229"/>
      <c r="Y756" s="223" t="str">
        <f t="shared" si="25"/>
        <v/>
      </c>
    </row>
    <row r="757" spans="1:25" s="223" customFormat="1" ht="20.25">
      <c r="A757" s="291"/>
      <c r="B757" s="292" t="str">
        <f>IF(LEN(A757)=0,"",INDEX('Smelter Reference List'!$A:$A,MATCH($A757,'Smelter Reference List'!$E:$E,0)))</f>
        <v/>
      </c>
      <c r="C757" s="298" t="str">
        <f>IF(LEN(A757)=0,"",INDEX('Smelter Reference List'!$C:$C,MATCH($A757,'Smelter Reference List'!$E:$E,0)))</f>
        <v/>
      </c>
      <c r="D757" s="292" t="str">
        <f ca="1">IF(ISERROR($S757),"",OFFSET('Smelter Reference List'!$C$4,$S757-4,0)&amp;"")</f>
        <v/>
      </c>
      <c r="E757" s="292" t="str">
        <f ca="1">IF(ISERROR($S757),"",OFFSET('Smelter Reference List'!$D$4,$S757-4,0)&amp;"")</f>
        <v/>
      </c>
      <c r="F757" s="292" t="str">
        <f ca="1">IF(ISERROR($S757),"",OFFSET('Smelter Reference List'!$E$4,$S757-4,0))</f>
        <v/>
      </c>
      <c r="G757" s="292" t="str">
        <f ca="1">IF(C757=$U$4,"Enter smelter details", IF(ISERROR($S757),"",OFFSET('Smelter Reference List'!$F$4,$S757-4,0)))</f>
        <v/>
      </c>
      <c r="H757" s="293" t="str">
        <f ca="1">IF(ISERROR($S757),"",OFFSET('Smelter Reference List'!$G$4,$S757-4,0))</f>
        <v/>
      </c>
      <c r="I757" s="294" t="str">
        <f ca="1">IF(ISERROR($S757),"",OFFSET('Smelter Reference List'!$H$4,$S757-4,0))</f>
        <v/>
      </c>
      <c r="J757" s="294" t="str">
        <f ca="1">IF(ISERROR($S757),"",OFFSET('Smelter Reference List'!$I$4,$S757-4,0))</f>
        <v/>
      </c>
      <c r="K757" s="295"/>
      <c r="L757" s="295"/>
      <c r="M757" s="295"/>
      <c r="N757" s="295"/>
      <c r="O757" s="295"/>
      <c r="P757" s="295"/>
      <c r="Q757" s="296"/>
      <c r="R757" s="227"/>
      <c r="S757" s="228" t="e">
        <f>IF(C757="",NA(),MATCH($B757&amp;$C757,'Smelter Reference List'!$J:$J,0))</f>
        <v>#N/A</v>
      </c>
      <c r="T757" s="229"/>
      <c r="U757" s="229">
        <f t="shared" ca="1" si="24"/>
        <v>0</v>
      </c>
      <c r="V757" s="229"/>
      <c r="W757" s="229"/>
      <c r="Y757" s="223" t="str">
        <f t="shared" si="25"/>
        <v/>
      </c>
    </row>
    <row r="758" spans="1:25" s="223" customFormat="1" ht="20.25">
      <c r="A758" s="291"/>
      <c r="B758" s="292" t="str">
        <f>IF(LEN(A758)=0,"",INDEX('Smelter Reference List'!$A:$A,MATCH($A758,'Smelter Reference List'!$E:$E,0)))</f>
        <v/>
      </c>
      <c r="C758" s="298" t="str">
        <f>IF(LEN(A758)=0,"",INDEX('Smelter Reference List'!$C:$C,MATCH($A758,'Smelter Reference List'!$E:$E,0)))</f>
        <v/>
      </c>
      <c r="D758" s="292" t="str">
        <f ca="1">IF(ISERROR($S758),"",OFFSET('Smelter Reference List'!$C$4,$S758-4,0)&amp;"")</f>
        <v/>
      </c>
      <c r="E758" s="292" t="str">
        <f ca="1">IF(ISERROR($S758),"",OFFSET('Smelter Reference List'!$D$4,$S758-4,0)&amp;"")</f>
        <v/>
      </c>
      <c r="F758" s="292" t="str">
        <f ca="1">IF(ISERROR($S758),"",OFFSET('Smelter Reference List'!$E$4,$S758-4,0))</f>
        <v/>
      </c>
      <c r="G758" s="292" t="str">
        <f ca="1">IF(C758=$U$4,"Enter smelter details", IF(ISERROR($S758),"",OFFSET('Smelter Reference List'!$F$4,$S758-4,0)))</f>
        <v/>
      </c>
      <c r="H758" s="293" t="str">
        <f ca="1">IF(ISERROR($S758),"",OFFSET('Smelter Reference List'!$G$4,$S758-4,0))</f>
        <v/>
      </c>
      <c r="I758" s="294" t="str">
        <f ca="1">IF(ISERROR($S758),"",OFFSET('Smelter Reference List'!$H$4,$S758-4,0))</f>
        <v/>
      </c>
      <c r="J758" s="294" t="str">
        <f ca="1">IF(ISERROR($S758),"",OFFSET('Smelter Reference List'!$I$4,$S758-4,0))</f>
        <v/>
      </c>
      <c r="K758" s="295"/>
      <c r="L758" s="295"/>
      <c r="M758" s="295"/>
      <c r="N758" s="295"/>
      <c r="O758" s="295"/>
      <c r="P758" s="295"/>
      <c r="Q758" s="296"/>
      <c r="R758" s="227"/>
      <c r="S758" s="228" t="e">
        <f>IF(C758="",NA(),MATCH($B758&amp;$C758,'Smelter Reference List'!$J:$J,0))</f>
        <v>#N/A</v>
      </c>
      <c r="T758" s="229"/>
      <c r="U758" s="229">
        <f t="shared" ca="1" si="24"/>
        <v>0</v>
      </c>
      <c r="V758" s="229"/>
      <c r="W758" s="229"/>
      <c r="Y758" s="223" t="str">
        <f t="shared" si="25"/>
        <v/>
      </c>
    </row>
    <row r="759" spans="1:25" s="223" customFormat="1" ht="20.25">
      <c r="A759" s="291"/>
      <c r="B759" s="292" t="str">
        <f>IF(LEN(A759)=0,"",INDEX('Smelter Reference List'!$A:$A,MATCH($A759,'Smelter Reference List'!$E:$E,0)))</f>
        <v/>
      </c>
      <c r="C759" s="298" t="str">
        <f>IF(LEN(A759)=0,"",INDEX('Smelter Reference List'!$C:$C,MATCH($A759,'Smelter Reference List'!$E:$E,0)))</f>
        <v/>
      </c>
      <c r="D759" s="292" t="str">
        <f ca="1">IF(ISERROR($S759),"",OFFSET('Smelter Reference List'!$C$4,$S759-4,0)&amp;"")</f>
        <v/>
      </c>
      <c r="E759" s="292" t="str">
        <f ca="1">IF(ISERROR($S759),"",OFFSET('Smelter Reference List'!$D$4,$S759-4,0)&amp;"")</f>
        <v/>
      </c>
      <c r="F759" s="292" t="str">
        <f ca="1">IF(ISERROR($S759),"",OFFSET('Smelter Reference List'!$E$4,$S759-4,0))</f>
        <v/>
      </c>
      <c r="G759" s="292" t="str">
        <f ca="1">IF(C759=$U$4,"Enter smelter details", IF(ISERROR($S759),"",OFFSET('Smelter Reference List'!$F$4,$S759-4,0)))</f>
        <v/>
      </c>
      <c r="H759" s="293" t="str">
        <f ca="1">IF(ISERROR($S759),"",OFFSET('Smelter Reference List'!$G$4,$S759-4,0))</f>
        <v/>
      </c>
      <c r="I759" s="294" t="str">
        <f ca="1">IF(ISERROR($S759),"",OFFSET('Smelter Reference List'!$H$4,$S759-4,0))</f>
        <v/>
      </c>
      <c r="J759" s="294" t="str">
        <f ca="1">IF(ISERROR($S759),"",OFFSET('Smelter Reference List'!$I$4,$S759-4,0))</f>
        <v/>
      </c>
      <c r="K759" s="295"/>
      <c r="L759" s="295"/>
      <c r="M759" s="295"/>
      <c r="N759" s="295"/>
      <c r="O759" s="295"/>
      <c r="P759" s="295"/>
      <c r="Q759" s="296"/>
      <c r="R759" s="227"/>
      <c r="S759" s="228" t="e">
        <f>IF(C759="",NA(),MATCH($B759&amp;$C759,'Smelter Reference List'!$J:$J,0))</f>
        <v>#N/A</v>
      </c>
      <c r="T759" s="229"/>
      <c r="U759" s="229">
        <f t="shared" ca="1" si="24"/>
        <v>0</v>
      </c>
      <c r="V759" s="229"/>
      <c r="W759" s="229"/>
      <c r="Y759" s="223" t="str">
        <f t="shared" si="25"/>
        <v/>
      </c>
    </row>
    <row r="760" spans="1:25" s="223" customFormat="1" ht="20.25">
      <c r="A760" s="291"/>
      <c r="B760" s="292" t="str">
        <f>IF(LEN(A760)=0,"",INDEX('Smelter Reference List'!$A:$A,MATCH($A760,'Smelter Reference List'!$E:$E,0)))</f>
        <v/>
      </c>
      <c r="C760" s="298" t="str">
        <f>IF(LEN(A760)=0,"",INDEX('Smelter Reference List'!$C:$C,MATCH($A760,'Smelter Reference List'!$E:$E,0)))</f>
        <v/>
      </c>
      <c r="D760" s="292" t="str">
        <f ca="1">IF(ISERROR($S760),"",OFFSET('Smelter Reference List'!$C$4,$S760-4,0)&amp;"")</f>
        <v/>
      </c>
      <c r="E760" s="292" t="str">
        <f ca="1">IF(ISERROR($S760),"",OFFSET('Smelter Reference List'!$D$4,$S760-4,0)&amp;"")</f>
        <v/>
      </c>
      <c r="F760" s="292" t="str">
        <f ca="1">IF(ISERROR($S760),"",OFFSET('Smelter Reference List'!$E$4,$S760-4,0))</f>
        <v/>
      </c>
      <c r="G760" s="292" t="str">
        <f ca="1">IF(C760=$U$4,"Enter smelter details", IF(ISERROR($S760),"",OFFSET('Smelter Reference List'!$F$4,$S760-4,0)))</f>
        <v/>
      </c>
      <c r="H760" s="293" t="str">
        <f ca="1">IF(ISERROR($S760),"",OFFSET('Smelter Reference List'!$G$4,$S760-4,0))</f>
        <v/>
      </c>
      <c r="I760" s="294" t="str">
        <f ca="1">IF(ISERROR($S760),"",OFFSET('Smelter Reference List'!$H$4,$S760-4,0))</f>
        <v/>
      </c>
      <c r="J760" s="294" t="str">
        <f ca="1">IF(ISERROR($S760),"",OFFSET('Smelter Reference List'!$I$4,$S760-4,0))</f>
        <v/>
      </c>
      <c r="K760" s="295"/>
      <c r="L760" s="295"/>
      <c r="M760" s="295"/>
      <c r="N760" s="295"/>
      <c r="O760" s="295"/>
      <c r="P760" s="295"/>
      <c r="Q760" s="296"/>
      <c r="R760" s="227"/>
      <c r="S760" s="228" t="e">
        <f>IF(C760="",NA(),MATCH($B760&amp;$C760,'Smelter Reference List'!$J:$J,0))</f>
        <v>#N/A</v>
      </c>
      <c r="T760" s="229"/>
      <c r="U760" s="229">
        <f t="shared" ca="1" si="24"/>
        <v>0</v>
      </c>
      <c r="V760" s="229"/>
      <c r="W760" s="229"/>
      <c r="Y760" s="223" t="str">
        <f t="shared" si="25"/>
        <v/>
      </c>
    </row>
    <row r="761" spans="1:25" s="223" customFormat="1" ht="20.25">
      <c r="A761" s="291"/>
      <c r="B761" s="292" t="str">
        <f>IF(LEN(A761)=0,"",INDEX('Smelter Reference List'!$A:$A,MATCH($A761,'Smelter Reference List'!$E:$E,0)))</f>
        <v/>
      </c>
      <c r="C761" s="298" t="str">
        <f>IF(LEN(A761)=0,"",INDEX('Smelter Reference List'!$C:$C,MATCH($A761,'Smelter Reference List'!$E:$E,0)))</f>
        <v/>
      </c>
      <c r="D761" s="292" t="str">
        <f ca="1">IF(ISERROR($S761),"",OFFSET('Smelter Reference List'!$C$4,$S761-4,0)&amp;"")</f>
        <v/>
      </c>
      <c r="E761" s="292" t="str">
        <f ca="1">IF(ISERROR($S761),"",OFFSET('Smelter Reference List'!$D$4,$S761-4,0)&amp;"")</f>
        <v/>
      </c>
      <c r="F761" s="292" t="str">
        <f ca="1">IF(ISERROR($S761),"",OFFSET('Smelter Reference List'!$E$4,$S761-4,0))</f>
        <v/>
      </c>
      <c r="G761" s="292" t="str">
        <f ca="1">IF(C761=$U$4,"Enter smelter details", IF(ISERROR($S761),"",OFFSET('Smelter Reference List'!$F$4,$S761-4,0)))</f>
        <v/>
      </c>
      <c r="H761" s="293" t="str">
        <f ca="1">IF(ISERROR($S761),"",OFFSET('Smelter Reference List'!$G$4,$S761-4,0))</f>
        <v/>
      </c>
      <c r="I761" s="294" t="str">
        <f ca="1">IF(ISERROR($S761),"",OFFSET('Smelter Reference List'!$H$4,$S761-4,0))</f>
        <v/>
      </c>
      <c r="J761" s="294" t="str">
        <f ca="1">IF(ISERROR($S761),"",OFFSET('Smelter Reference List'!$I$4,$S761-4,0))</f>
        <v/>
      </c>
      <c r="K761" s="295"/>
      <c r="L761" s="295"/>
      <c r="M761" s="295"/>
      <c r="N761" s="295"/>
      <c r="O761" s="295"/>
      <c r="P761" s="295"/>
      <c r="Q761" s="296"/>
      <c r="R761" s="227"/>
      <c r="S761" s="228" t="e">
        <f>IF(C761="",NA(),MATCH($B761&amp;$C761,'Smelter Reference List'!$J:$J,0))</f>
        <v>#N/A</v>
      </c>
      <c r="T761" s="229"/>
      <c r="U761" s="229">
        <f t="shared" ca="1" si="24"/>
        <v>0</v>
      </c>
      <c r="V761" s="229"/>
      <c r="W761" s="229"/>
      <c r="Y761" s="223" t="str">
        <f t="shared" si="25"/>
        <v/>
      </c>
    </row>
    <row r="762" spans="1:25" s="223" customFormat="1" ht="20.25">
      <c r="A762" s="291"/>
      <c r="B762" s="292" t="str">
        <f>IF(LEN(A762)=0,"",INDEX('Smelter Reference List'!$A:$A,MATCH($A762,'Smelter Reference List'!$E:$E,0)))</f>
        <v/>
      </c>
      <c r="C762" s="298" t="str">
        <f>IF(LEN(A762)=0,"",INDEX('Smelter Reference List'!$C:$C,MATCH($A762,'Smelter Reference List'!$E:$E,0)))</f>
        <v/>
      </c>
      <c r="D762" s="292" t="str">
        <f ca="1">IF(ISERROR($S762),"",OFFSET('Smelter Reference List'!$C$4,$S762-4,0)&amp;"")</f>
        <v/>
      </c>
      <c r="E762" s="292" t="str">
        <f ca="1">IF(ISERROR($S762),"",OFFSET('Smelter Reference List'!$D$4,$S762-4,0)&amp;"")</f>
        <v/>
      </c>
      <c r="F762" s="292" t="str">
        <f ca="1">IF(ISERROR($S762),"",OFFSET('Smelter Reference List'!$E$4,$S762-4,0))</f>
        <v/>
      </c>
      <c r="G762" s="292" t="str">
        <f ca="1">IF(C762=$U$4,"Enter smelter details", IF(ISERROR($S762),"",OFFSET('Smelter Reference List'!$F$4,$S762-4,0)))</f>
        <v/>
      </c>
      <c r="H762" s="293" t="str">
        <f ca="1">IF(ISERROR($S762),"",OFFSET('Smelter Reference List'!$G$4,$S762-4,0))</f>
        <v/>
      </c>
      <c r="I762" s="294" t="str">
        <f ca="1">IF(ISERROR($S762),"",OFFSET('Smelter Reference List'!$H$4,$S762-4,0))</f>
        <v/>
      </c>
      <c r="J762" s="294" t="str">
        <f ca="1">IF(ISERROR($S762),"",OFFSET('Smelter Reference List'!$I$4,$S762-4,0))</f>
        <v/>
      </c>
      <c r="K762" s="295"/>
      <c r="L762" s="295"/>
      <c r="M762" s="295"/>
      <c r="N762" s="295"/>
      <c r="O762" s="295"/>
      <c r="P762" s="295"/>
      <c r="Q762" s="296"/>
      <c r="R762" s="227"/>
      <c r="S762" s="228" t="e">
        <f>IF(C762="",NA(),MATCH($B762&amp;$C762,'Smelter Reference List'!$J:$J,0))</f>
        <v>#N/A</v>
      </c>
      <c r="T762" s="229"/>
      <c r="U762" s="229">
        <f t="shared" ca="1" si="24"/>
        <v>0</v>
      </c>
      <c r="V762" s="229"/>
      <c r="W762" s="229"/>
      <c r="Y762" s="223" t="str">
        <f t="shared" si="25"/>
        <v/>
      </c>
    </row>
    <row r="763" spans="1:25" s="223" customFormat="1" ht="20.25">
      <c r="A763" s="291"/>
      <c r="B763" s="292" t="str">
        <f>IF(LEN(A763)=0,"",INDEX('Smelter Reference List'!$A:$A,MATCH($A763,'Smelter Reference List'!$E:$E,0)))</f>
        <v/>
      </c>
      <c r="C763" s="298" t="str">
        <f>IF(LEN(A763)=0,"",INDEX('Smelter Reference List'!$C:$C,MATCH($A763,'Smelter Reference List'!$E:$E,0)))</f>
        <v/>
      </c>
      <c r="D763" s="292" t="str">
        <f ca="1">IF(ISERROR($S763),"",OFFSET('Smelter Reference List'!$C$4,$S763-4,0)&amp;"")</f>
        <v/>
      </c>
      <c r="E763" s="292" t="str">
        <f ca="1">IF(ISERROR($S763),"",OFFSET('Smelter Reference List'!$D$4,$S763-4,0)&amp;"")</f>
        <v/>
      </c>
      <c r="F763" s="292" t="str">
        <f ca="1">IF(ISERROR($S763),"",OFFSET('Smelter Reference List'!$E$4,$S763-4,0))</f>
        <v/>
      </c>
      <c r="G763" s="292" t="str">
        <f ca="1">IF(C763=$U$4,"Enter smelter details", IF(ISERROR($S763),"",OFFSET('Smelter Reference List'!$F$4,$S763-4,0)))</f>
        <v/>
      </c>
      <c r="H763" s="293" t="str">
        <f ca="1">IF(ISERROR($S763),"",OFFSET('Smelter Reference List'!$G$4,$S763-4,0))</f>
        <v/>
      </c>
      <c r="I763" s="294" t="str">
        <f ca="1">IF(ISERROR($S763),"",OFFSET('Smelter Reference List'!$H$4,$S763-4,0))</f>
        <v/>
      </c>
      <c r="J763" s="294" t="str">
        <f ca="1">IF(ISERROR($S763),"",OFFSET('Smelter Reference List'!$I$4,$S763-4,0))</f>
        <v/>
      </c>
      <c r="K763" s="295"/>
      <c r="L763" s="295"/>
      <c r="M763" s="295"/>
      <c r="N763" s="295"/>
      <c r="O763" s="295"/>
      <c r="P763" s="295"/>
      <c r="Q763" s="296"/>
      <c r="R763" s="227"/>
      <c r="S763" s="228" t="e">
        <f>IF(C763="",NA(),MATCH($B763&amp;$C763,'Smelter Reference List'!$J:$J,0))</f>
        <v>#N/A</v>
      </c>
      <c r="T763" s="229"/>
      <c r="U763" s="229">
        <f t="shared" ca="1" si="24"/>
        <v>0</v>
      </c>
      <c r="V763" s="229"/>
      <c r="W763" s="229"/>
      <c r="Y763" s="223" t="str">
        <f t="shared" si="25"/>
        <v/>
      </c>
    </row>
    <row r="764" spans="1:25" s="223" customFormat="1" ht="20.25">
      <c r="A764" s="291"/>
      <c r="B764" s="292" t="str">
        <f>IF(LEN(A764)=0,"",INDEX('Smelter Reference List'!$A:$A,MATCH($A764,'Smelter Reference List'!$E:$E,0)))</f>
        <v/>
      </c>
      <c r="C764" s="298" t="str">
        <f>IF(LEN(A764)=0,"",INDEX('Smelter Reference List'!$C:$C,MATCH($A764,'Smelter Reference List'!$E:$E,0)))</f>
        <v/>
      </c>
      <c r="D764" s="292" t="str">
        <f ca="1">IF(ISERROR($S764),"",OFFSET('Smelter Reference List'!$C$4,$S764-4,0)&amp;"")</f>
        <v/>
      </c>
      <c r="E764" s="292" t="str">
        <f ca="1">IF(ISERROR($S764),"",OFFSET('Smelter Reference List'!$D$4,$S764-4,0)&amp;"")</f>
        <v/>
      </c>
      <c r="F764" s="292" t="str">
        <f ca="1">IF(ISERROR($S764),"",OFFSET('Smelter Reference List'!$E$4,$S764-4,0))</f>
        <v/>
      </c>
      <c r="G764" s="292" t="str">
        <f ca="1">IF(C764=$U$4,"Enter smelter details", IF(ISERROR($S764),"",OFFSET('Smelter Reference List'!$F$4,$S764-4,0)))</f>
        <v/>
      </c>
      <c r="H764" s="293" t="str">
        <f ca="1">IF(ISERROR($S764),"",OFFSET('Smelter Reference List'!$G$4,$S764-4,0))</f>
        <v/>
      </c>
      <c r="I764" s="294" t="str">
        <f ca="1">IF(ISERROR($S764),"",OFFSET('Smelter Reference List'!$H$4,$S764-4,0))</f>
        <v/>
      </c>
      <c r="J764" s="294" t="str">
        <f ca="1">IF(ISERROR($S764),"",OFFSET('Smelter Reference List'!$I$4,$S764-4,0))</f>
        <v/>
      </c>
      <c r="K764" s="295"/>
      <c r="L764" s="295"/>
      <c r="M764" s="295"/>
      <c r="N764" s="295"/>
      <c r="O764" s="295"/>
      <c r="P764" s="295"/>
      <c r="Q764" s="296"/>
      <c r="R764" s="227"/>
      <c r="S764" s="228" t="e">
        <f>IF(C764="",NA(),MATCH($B764&amp;$C764,'Smelter Reference List'!$J:$J,0))</f>
        <v>#N/A</v>
      </c>
      <c r="T764" s="229"/>
      <c r="U764" s="229">
        <f t="shared" ca="1" si="24"/>
        <v>0</v>
      </c>
      <c r="V764" s="229"/>
      <c r="W764" s="229"/>
      <c r="Y764" s="223" t="str">
        <f t="shared" si="25"/>
        <v/>
      </c>
    </row>
    <row r="765" spans="1:25" s="223" customFormat="1" ht="20.25">
      <c r="A765" s="291"/>
      <c r="B765" s="292" t="str">
        <f>IF(LEN(A765)=0,"",INDEX('Smelter Reference List'!$A:$A,MATCH($A765,'Smelter Reference List'!$E:$E,0)))</f>
        <v/>
      </c>
      <c r="C765" s="298" t="str">
        <f>IF(LEN(A765)=0,"",INDEX('Smelter Reference List'!$C:$C,MATCH($A765,'Smelter Reference List'!$E:$E,0)))</f>
        <v/>
      </c>
      <c r="D765" s="292" t="str">
        <f ca="1">IF(ISERROR($S765),"",OFFSET('Smelter Reference List'!$C$4,$S765-4,0)&amp;"")</f>
        <v/>
      </c>
      <c r="E765" s="292" t="str">
        <f ca="1">IF(ISERROR($S765),"",OFFSET('Smelter Reference List'!$D$4,$S765-4,0)&amp;"")</f>
        <v/>
      </c>
      <c r="F765" s="292" t="str">
        <f ca="1">IF(ISERROR($S765),"",OFFSET('Smelter Reference List'!$E$4,$S765-4,0))</f>
        <v/>
      </c>
      <c r="G765" s="292" t="str">
        <f ca="1">IF(C765=$U$4,"Enter smelter details", IF(ISERROR($S765),"",OFFSET('Smelter Reference List'!$F$4,$S765-4,0)))</f>
        <v/>
      </c>
      <c r="H765" s="293" t="str">
        <f ca="1">IF(ISERROR($S765),"",OFFSET('Smelter Reference List'!$G$4,$S765-4,0))</f>
        <v/>
      </c>
      <c r="I765" s="294" t="str">
        <f ca="1">IF(ISERROR($S765),"",OFFSET('Smelter Reference List'!$H$4,$S765-4,0))</f>
        <v/>
      </c>
      <c r="J765" s="294" t="str">
        <f ca="1">IF(ISERROR($S765),"",OFFSET('Smelter Reference List'!$I$4,$S765-4,0))</f>
        <v/>
      </c>
      <c r="K765" s="295"/>
      <c r="L765" s="295"/>
      <c r="M765" s="295"/>
      <c r="N765" s="295"/>
      <c r="O765" s="295"/>
      <c r="P765" s="295"/>
      <c r="Q765" s="296"/>
      <c r="R765" s="227"/>
      <c r="S765" s="228" t="e">
        <f>IF(C765="",NA(),MATCH($B765&amp;$C765,'Smelter Reference List'!$J:$J,0))</f>
        <v>#N/A</v>
      </c>
      <c r="T765" s="229"/>
      <c r="U765" s="229">
        <f t="shared" ca="1" si="24"/>
        <v>0</v>
      </c>
      <c r="V765" s="229"/>
      <c r="W765" s="229"/>
      <c r="Y765" s="223" t="str">
        <f t="shared" si="25"/>
        <v/>
      </c>
    </row>
    <row r="766" spans="1:25" s="223" customFormat="1" ht="20.25">
      <c r="A766" s="291"/>
      <c r="B766" s="292" t="str">
        <f>IF(LEN(A766)=0,"",INDEX('Smelter Reference List'!$A:$A,MATCH($A766,'Smelter Reference List'!$E:$E,0)))</f>
        <v/>
      </c>
      <c r="C766" s="298" t="str">
        <f>IF(LEN(A766)=0,"",INDEX('Smelter Reference List'!$C:$C,MATCH($A766,'Smelter Reference List'!$E:$E,0)))</f>
        <v/>
      </c>
      <c r="D766" s="292" t="str">
        <f ca="1">IF(ISERROR($S766),"",OFFSET('Smelter Reference List'!$C$4,$S766-4,0)&amp;"")</f>
        <v/>
      </c>
      <c r="E766" s="292" t="str">
        <f ca="1">IF(ISERROR($S766),"",OFFSET('Smelter Reference List'!$D$4,$S766-4,0)&amp;"")</f>
        <v/>
      </c>
      <c r="F766" s="292" t="str">
        <f ca="1">IF(ISERROR($S766),"",OFFSET('Smelter Reference List'!$E$4,$S766-4,0))</f>
        <v/>
      </c>
      <c r="G766" s="292" t="str">
        <f ca="1">IF(C766=$U$4,"Enter smelter details", IF(ISERROR($S766),"",OFFSET('Smelter Reference List'!$F$4,$S766-4,0)))</f>
        <v/>
      </c>
      <c r="H766" s="293" t="str">
        <f ca="1">IF(ISERROR($S766),"",OFFSET('Smelter Reference List'!$G$4,$S766-4,0))</f>
        <v/>
      </c>
      <c r="I766" s="294" t="str">
        <f ca="1">IF(ISERROR($S766),"",OFFSET('Smelter Reference List'!$H$4,$S766-4,0))</f>
        <v/>
      </c>
      <c r="J766" s="294" t="str">
        <f ca="1">IF(ISERROR($S766),"",OFFSET('Smelter Reference List'!$I$4,$S766-4,0))</f>
        <v/>
      </c>
      <c r="K766" s="295"/>
      <c r="L766" s="295"/>
      <c r="M766" s="295"/>
      <c r="N766" s="295"/>
      <c r="O766" s="295"/>
      <c r="P766" s="295"/>
      <c r="Q766" s="296"/>
      <c r="R766" s="227"/>
      <c r="S766" s="228" t="e">
        <f>IF(C766="",NA(),MATCH($B766&amp;$C766,'Smelter Reference List'!$J:$J,0))</f>
        <v>#N/A</v>
      </c>
      <c r="T766" s="229"/>
      <c r="U766" s="229">
        <f t="shared" ca="1" si="24"/>
        <v>0</v>
      </c>
      <c r="V766" s="229"/>
      <c r="W766" s="229"/>
      <c r="Y766" s="223" t="str">
        <f t="shared" si="25"/>
        <v/>
      </c>
    </row>
    <row r="767" spans="1:25" s="223" customFormat="1" ht="20.25">
      <c r="A767" s="291"/>
      <c r="B767" s="292" t="str">
        <f>IF(LEN(A767)=0,"",INDEX('Smelter Reference List'!$A:$A,MATCH($A767,'Smelter Reference List'!$E:$E,0)))</f>
        <v/>
      </c>
      <c r="C767" s="298" t="str">
        <f>IF(LEN(A767)=0,"",INDEX('Smelter Reference List'!$C:$C,MATCH($A767,'Smelter Reference List'!$E:$E,0)))</f>
        <v/>
      </c>
      <c r="D767" s="292" t="str">
        <f ca="1">IF(ISERROR($S767),"",OFFSET('Smelter Reference List'!$C$4,$S767-4,0)&amp;"")</f>
        <v/>
      </c>
      <c r="E767" s="292" t="str">
        <f ca="1">IF(ISERROR($S767),"",OFFSET('Smelter Reference List'!$D$4,$S767-4,0)&amp;"")</f>
        <v/>
      </c>
      <c r="F767" s="292" t="str">
        <f ca="1">IF(ISERROR($S767),"",OFFSET('Smelter Reference List'!$E$4,$S767-4,0))</f>
        <v/>
      </c>
      <c r="G767" s="292" t="str">
        <f ca="1">IF(C767=$U$4,"Enter smelter details", IF(ISERROR($S767),"",OFFSET('Smelter Reference List'!$F$4,$S767-4,0)))</f>
        <v/>
      </c>
      <c r="H767" s="293" t="str">
        <f ca="1">IF(ISERROR($S767),"",OFFSET('Smelter Reference List'!$G$4,$S767-4,0))</f>
        <v/>
      </c>
      <c r="I767" s="294" t="str">
        <f ca="1">IF(ISERROR($S767),"",OFFSET('Smelter Reference List'!$H$4,$S767-4,0))</f>
        <v/>
      </c>
      <c r="J767" s="294" t="str">
        <f ca="1">IF(ISERROR($S767),"",OFFSET('Smelter Reference List'!$I$4,$S767-4,0))</f>
        <v/>
      </c>
      <c r="K767" s="295"/>
      <c r="L767" s="295"/>
      <c r="M767" s="295"/>
      <c r="N767" s="295"/>
      <c r="O767" s="295"/>
      <c r="P767" s="295"/>
      <c r="Q767" s="296"/>
      <c r="R767" s="227"/>
      <c r="S767" s="228" t="e">
        <f>IF(C767="",NA(),MATCH($B767&amp;$C767,'Smelter Reference List'!$J:$J,0))</f>
        <v>#N/A</v>
      </c>
      <c r="T767" s="229"/>
      <c r="U767" s="229">
        <f t="shared" ca="1" si="24"/>
        <v>0</v>
      </c>
      <c r="V767" s="229"/>
      <c r="W767" s="229"/>
      <c r="Y767" s="223" t="str">
        <f t="shared" si="25"/>
        <v/>
      </c>
    </row>
    <row r="768" spans="1:25" s="223" customFormat="1" ht="20.25">
      <c r="A768" s="291"/>
      <c r="B768" s="292" t="str">
        <f>IF(LEN(A768)=0,"",INDEX('Smelter Reference List'!$A:$A,MATCH($A768,'Smelter Reference List'!$E:$E,0)))</f>
        <v/>
      </c>
      <c r="C768" s="298" t="str">
        <f>IF(LEN(A768)=0,"",INDEX('Smelter Reference List'!$C:$C,MATCH($A768,'Smelter Reference List'!$E:$E,0)))</f>
        <v/>
      </c>
      <c r="D768" s="292" t="str">
        <f ca="1">IF(ISERROR($S768),"",OFFSET('Smelter Reference List'!$C$4,$S768-4,0)&amp;"")</f>
        <v/>
      </c>
      <c r="E768" s="292" t="str">
        <f ca="1">IF(ISERROR($S768),"",OFFSET('Smelter Reference List'!$D$4,$S768-4,0)&amp;"")</f>
        <v/>
      </c>
      <c r="F768" s="292" t="str">
        <f ca="1">IF(ISERROR($S768),"",OFFSET('Smelter Reference List'!$E$4,$S768-4,0))</f>
        <v/>
      </c>
      <c r="G768" s="292" t="str">
        <f ca="1">IF(C768=$U$4,"Enter smelter details", IF(ISERROR($S768),"",OFFSET('Smelter Reference List'!$F$4,$S768-4,0)))</f>
        <v/>
      </c>
      <c r="H768" s="293" t="str">
        <f ca="1">IF(ISERROR($S768),"",OFFSET('Smelter Reference List'!$G$4,$S768-4,0))</f>
        <v/>
      </c>
      <c r="I768" s="294" t="str">
        <f ca="1">IF(ISERROR($S768),"",OFFSET('Smelter Reference List'!$H$4,$S768-4,0))</f>
        <v/>
      </c>
      <c r="J768" s="294" t="str">
        <f ca="1">IF(ISERROR($S768),"",OFFSET('Smelter Reference List'!$I$4,$S768-4,0))</f>
        <v/>
      </c>
      <c r="K768" s="295"/>
      <c r="L768" s="295"/>
      <c r="M768" s="295"/>
      <c r="N768" s="295"/>
      <c r="O768" s="295"/>
      <c r="P768" s="295"/>
      <c r="Q768" s="296"/>
      <c r="R768" s="227"/>
      <c r="S768" s="228" t="e">
        <f>IF(C768="",NA(),MATCH($B768&amp;$C768,'Smelter Reference List'!$J:$J,0))</f>
        <v>#N/A</v>
      </c>
      <c r="T768" s="229"/>
      <c r="U768" s="229">
        <f t="shared" ca="1" si="24"/>
        <v>0</v>
      </c>
      <c r="V768" s="229"/>
      <c r="W768" s="229"/>
      <c r="Y768" s="223" t="str">
        <f t="shared" si="25"/>
        <v/>
      </c>
    </row>
    <row r="769" spans="1:25" s="223" customFormat="1" ht="20.25">
      <c r="A769" s="291"/>
      <c r="B769" s="292" t="str">
        <f>IF(LEN(A769)=0,"",INDEX('Smelter Reference List'!$A:$A,MATCH($A769,'Smelter Reference List'!$E:$E,0)))</f>
        <v/>
      </c>
      <c r="C769" s="298" t="str">
        <f>IF(LEN(A769)=0,"",INDEX('Smelter Reference List'!$C:$C,MATCH($A769,'Smelter Reference List'!$E:$E,0)))</f>
        <v/>
      </c>
      <c r="D769" s="292" t="str">
        <f ca="1">IF(ISERROR($S769),"",OFFSET('Smelter Reference List'!$C$4,$S769-4,0)&amp;"")</f>
        <v/>
      </c>
      <c r="E769" s="292" t="str">
        <f ca="1">IF(ISERROR($S769),"",OFFSET('Smelter Reference List'!$D$4,$S769-4,0)&amp;"")</f>
        <v/>
      </c>
      <c r="F769" s="292" t="str">
        <f ca="1">IF(ISERROR($S769),"",OFFSET('Smelter Reference List'!$E$4,$S769-4,0))</f>
        <v/>
      </c>
      <c r="G769" s="292" t="str">
        <f ca="1">IF(C769=$U$4,"Enter smelter details", IF(ISERROR($S769),"",OFFSET('Smelter Reference List'!$F$4,$S769-4,0)))</f>
        <v/>
      </c>
      <c r="H769" s="293" t="str">
        <f ca="1">IF(ISERROR($S769),"",OFFSET('Smelter Reference List'!$G$4,$S769-4,0))</f>
        <v/>
      </c>
      <c r="I769" s="294" t="str">
        <f ca="1">IF(ISERROR($S769),"",OFFSET('Smelter Reference List'!$H$4,$S769-4,0))</f>
        <v/>
      </c>
      <c r="J769" s="294" t="str">
        <f ca="1">IF(ISERROR($S769),"",OFFSET('Smelter Reference List'!$I$4,$S769-4,0))</f>
        <v/>
      </c>
      <c r="K769" s="295"/>
      <c r="L769" s="295"/>
      <c r="M769" s="295"/>
      <c r="N769" s="295"/>
      <c r="O769" s="295"/>
      <c r="P769" s="295"/>
      <c r="Q769" s="296"/>
      <c r="R769" s="227"/>
      <c r="S769" s="228" t="e">
        <f>IF(C769="",NA(),MATCH($B769&amp;$C769,'Smelter Reference List'!$J:$J,0))</f>
        <v>#N/A</v>
      </c>
      <c r="T769" s="229"/>
      <c r="U769" s="229">
        <f t="shared" ca="1" si="24"/>
        <v>0</v>
      </c>
      <c r="V769" s="229"/>
      <c r="W769" s="229"/>
      <c r="Y769" s="223" t="str">
        <f t="shared" si="25"/>
        <v/>
      </c>
    </row>
    <row r="770" spans="1:25" s="223" customFormat="1" ht="20.25">
      <c r="A770" s="291"/>
      <c r="B770" s="292" t="str">
        <f>IF(LEN(A770)=0,"",INDEX('Smelter Reference List'!$A:$A,MATCH($A770,'Smelter Reference List'!$E:$E,0)))</f>
        <v/>
      </c>
      <c r="C770" s="298" t="str">
        <f>IF(LEN(A770)=0,"",INDEX('Smelter Reference List'!$C:$C,MATCH($A770,'Smelter Reference List'!$E:$E,0)))</f>
        <v/>
      </c>
      <c r="D770" s="292" t="str">
        <f ca="1">IF(ISERROR($S770),"",OFFSET('Smelter Reference List'!$C$4,$S770-4,0)&amp;"")</f>
        <v/>
      </c>
      <c r="E770" s="292" t="str">
        <f ca="1">IF(ISERROR($S770),"",OFFSET('Smelter Reference List'!$D$4,$S770-4,0)&amp;"")</f>
        <v/>
      </c>
      <c r="F770" s="292" t="str">
        <f ca="1">IF(ISERROR($S770),"",OFFSET('Smelter Reference List'!$E$4,$S770-4,0))</f>
        <v/>
      </c>
      <c r="G770" s="292" t="str">
        <f ca="1">IF(C770=$U$4,"Enter smelter details", IF(ISERROR($S770),"",OFFSET('Smelter Reference List'!$F$4,$S770-4,0)))</f>
        <v/>
      </c>
      <c r="H770" s="293" t="str">
        <f ca="1">IF(ISERROR($S770),"",OFFSET('Smelter Reference List'!$G$4,$S770-4,0))</f>
        <v/>
      </c>
      <c r="I770" s="294" t="str">
        <f ca="1">IF(ISERROR($S770),"",OFFSET('Smelter Reference List'!$H$4,$S770-4,0))</f>
        <v/>
      </c>
      <c r="J770" s="294" t="str">
        <f ca="1">IF(ISERROR($S770),"",OFFSET('Smelter Reference List'!$I$4,$S770-4,0))</f>
        <v/>
      </c>
      <c r="K770" s="295"/>
      <c r="L770" s="295"/>
      <c r="M770" s="295"/>
      <c r="N770" s="295"/>
      <c r="O770" s="295"/>
      <c r="P770" s="295"/>
      <c r="Q770" s="296"/>
      <c r="R770" s="227"/>
      <c r="S770" s="228" t="e">
        <f>IF(C770="",NA(),MATCH($B770&amp;$C770,'Smelter Reference List'!$J:$J,0))</f>
        <v>#N/A</v>
      </c>
      <c r="T770" s="229"/>
      <c r="U770" s="229">
        <f t="shared" ca="1" si="24"/>
        <v>0</v>
      </c>
      <c r="V770" s="229"/>
      <c r="W770" s="229"/>
      <c r="Y770" s="223" t="str">
        <f t="shared" si="25"/>
        <v/>
      </c>
    </row>
    <row r="771" spans="1:25" s="223" customFormat="1" ht="20.25">
      <c r="A771" s="291"/>
      <c r="B771" s="292" t="str">
        <f>IF(LEN(A771)=0,"",INDEX('Smelter Reference List'!$A:$A,MATCH($A771,'Smelter Reference List'!$E:$E,0)))</f>
        <v/>
      </c>
      <c r="C771" s="298" t="str">
        <f>IF(LEN(A771)=0,"",INDEX('Smelter Reference List'!$C:$C,MATCH($A771,'Smelter Reference List'!$E:$E,0)))</f>
        <v/>
      </c>
      <c r="D771" s="292" t="str">
        <f ca="1">IF(ISERROR($S771),"",OFFSET('Smelter Reference List'!$C$4,$S771-4,0)&amp;"")</f>
        <v/>
      </c>
      <c r="E771" s="292" t="str">
        <f ca="1">IF(ISERROR($S771),"",OFFSET('Smelter Reference List'!$D$4,$S771-4,0)&amp;"")</f>
        <v/>
      </c>
      <c r="F771" s="292" t="str">
        <f ca="1">IF(ISERROR($S771),"",OFFSET('Smelter Reference List'!$E$4,$S771-4,0))</f>
        <v/>
      </c>
      <c r="G771" s="292" t="str">
        <f ca="1">IF(C771=$U$4,"Enter smelter details", IF(ISERROR($S771),"",OFFSET('Smelter Reference List'!$F$4,$S771-4,0)))</f>
        <v/>
      </c>
      <c r="H771" s="293" t="str">
        <f ca="1">IF(ISERROR($S771),"",OFFSET('Smelter Reference List'!$G$4,$S771-4,0))</f>
        <v/>
      </c>
      <c r="I771" s="294" t="str">
        <f ca="1">IF(ISERROR($S771),"",OFFSET('Smelter Reference List'!$H$4,$S771-4,0))</f>
        <v/>
      </c>
      <c r="J771" s="294" t="str">
        <f ca="1">IF(ISERROR($S771),"",OFFSET('Smelter Reference List'!$I$4,$S771-4,0))</f>
        <v/>
      </c>
      <c r="K771" s="295"/>
      <c r="L771" s="295"/>
      <c r="M771" s="295"/>
      <c r="N771" s="295"/>
      <c r="O771" s="295"/>
      <c r="P771" s="295"/>
      <c r="Q771" s="296"/>
      <c r="R771" s="227"/>
      <c r="S771" s="228" t="e">
        <f>IF(C771="",NA(),MATCH($B771&amp;$C771,'Smelter Reference List'!$J:$J,0))</f>
        <v>#N/A</v>
      </c>
      <c r="T771" s="229"/>
      <c r="U771" s="229">
        <f t="shared" ca="1" si="24"/>
        <v>0</v>
      </c>
      <c r="V771" s="229"/>
      <c r="W771" s="229"/>
      <c r="Y771" s="223" t="str">
        <f t="shared" si="25"/>
        <v/>
      </c>
    </row>
    <row r="772" spans="1:25" s="223" customFormat="1" ht="20.25">
      <c r="A772" s="291"/>
      <c r="B772" s="292" t="str">
        <f>IF(LEN(A772)=0,"",INDEX('Smelter Reference List'!$A:$A,MATCH($A772,'Smelter Reference List'!$E:$E,0)))</f>
        <v/>
      </c>
      <c r="C772" s="298" t="str">
        <f>IF(LEN(A772)=0,"",INDEX('Smelter Reference List'!$C:$C,MATCH($A772,'Smelter Reference List'!$E:$E,0)))</f>
        <v/>
      </c>
      <c r="D772" s="292" t="str">
        <f ca="1">IF(ISERROR($S772),"",OFFSET('Smelter Reference List'!$C$4,$S772-4,0)&amp;"")</f>
        <v/>
      </c>
      <c r="E772" s="292" t="str">
        <f ca="1">IF(ISERROR($S772),"",OFFSET('Smelter Reference List'!$D$4,$S772-4,0)&amp;"")</f>
        <v/>
      </c>
      <c r="F772" s="292" t="str">
        <f ca="1">IF(ISERROR($S772),"",OFFSET('Smelter Reference List'!$E$4,$S772-4,0))</f>
        <v/>
      </c>
      <c r="G772" s="292" t="str">
        <f ca="1">IF(C772=$U$4,"Enter smelter details", IF(ISERROR($S772),"",OFFSET('Smelter Reference List'!$F$4,$S772-4,0)))</f>
        <v/>
      </c>
      <c r="H772" s="293" t="str">
        <f ca="1">IF(ISERROR($S772),"",OFFSET('Smelter Reference List'!$G$4,$S772-4,0))</f>
        <v/>
      </c>
      <c r="I772" s="294" t="str">
        <f ca="1">IF(ISERROR($S772),"",OFFSET('Smelter Reference List'!$H$4,$S772-4,0))</f>
        <v/>
      </c>
      <c r="J772" s="294" t="str">
        <f ca="1">IF(ISERROR($S772),"",OFFSET('Smelter Reference List'!$I$4,$S772-4,0))</f>
        <v/>
      </c>
      <c r="K772" s="295"/>
      <c r="L772" s="295"/>
      <c r="M772" s="295"/>
      <c r="N772" s="295"/>
      <c r="O772" s="295"/>
      <c r="P772" s="295"/>
      <c r="Q772" s="296"/>
      <c r="R772" s="227"/>
      <c r="S772" s="228" t="e">
        <f>IF(C772="",NA(),MATCH($B772&amp;$C772,'Smelter Reference List'!$J:$J,0))</f>
        <v>#N/A</v>
      </c>
      <c r="T772" s="229"/>
      <c r="U772" s="229">
        <f t="shared" ca="1" si="24"/>
        <v>0</v>
      </c>
      <c r="V772" s="229"/>
      <c r="W772" s="229"/>
      <c r="Y772" s="223" t="str">
        <f t="shared" si="25"/>
        <v/>
      </c>
    </row>
    <row r="773" spans="1:25" s="223" customFormat="1" ht="20.25">
      <c r="A773" s="291"/>
      <c r="B773" s="292" t="str">
        <f>IF(LEN(A773)=0,"",INDEX('Smelter Reference List'!$A:$A,MATCH($A773,'Smelter Reference List'!$E:$E,0)))</f>
        <v/>
      </c>
      <c r="C773" s="298" t="str">
        <f>IF(LEN(A773)=0,"",INDEX('Smelter Reference List'!$C:$C,MATCH($A773,'Smelter Reference List'!$E:$E,0)))</f>
        <v/>
      </c>
      <c r="D773" s="292" t="str">
        <f ca="1">IF(ISERROR($S773),"",OFFSET('Smelter Reference List'!$C$4,$S773-4,0)&amp;"")</f>
        <v/>
      </c>
      <c r="E773" s="292" t="str">
        <f ca="1">IF(ISERROR($S773),"",OFFSET('Smelter Reference List'!$D$4,$S773-4,0)&amp;"")</f>
        <v/>
      </c>
      <c r="F773" s="292" t="str">
        <f ca="1">IF(ISERROR($S773),"",OFFSET('Smelter Reference List'!$E$4,$S773-4,0))</f>
        <v/>
      </c>
      <c r="G773" s="292" t="str">
        <f ca="1">IF(C773=$U$4,"Enter smelter details", IF(ISERROR($S773),"",OFFSET('Smelter Reference List'!$F$4,$S773-4,0)))</f>
        <v/>
      </c>
      <c r="H773" s="293" t="str">
        <f ca="1">IF(ISERROR($S773),"",OFFSET('Smelter Reference List'!$G$4,$S773-4,0))</f>
        <v/>
      </c>
      <c r="I773" s="294" t="str">
        <f ca="1">IF(ISERROR($S773),"",OFFSET('Smelter Reference List'!$H$4,$S773-4,0))</f>
        <v/>
      </c>
      <c r="J773" s="294" t="str">
        <f ca="1">IF(ISERROR($S773),"",OFFSET('Smelter Reference List'!$I$4,$S773-4,0))</f>
        <v/>
      </c>
      <c r="K773" s="295"/>
      <c r="L773" s="295"/>
      <c r="M773" s="295"/>
      <c r="N773" s="295"/>
      <c r="O773" s="295"/>
      <c r="P773" s="295"/>
      <c r="Q773" s="296"/>
      <c r="R773" s="227"/>
      <c r="S773" s="228" t="e">
        <f>IF(C773="",NA(),MATCH($B773&amp;$C773,'Smelter Reference List'!$J:$J,0))</f>
        <v>#N/A</v>
      </c>
      <c r="T773" s="229"/>
      <c r="U773" s="229">
        <f t="shared" ref="U773:U836" ca="1" si="26">IF(AND(C773="Smelter not listed",OR(LEN(D773)=0,LEN(E773)=0)),1,0)</f>
        <v>0</v>
      </c>
      <c r="V773" s="229"/>
      <c r="W773" s="229"/>
      <c r="Y773" s="223" t="str">
        <f t="shared" ref="Y773:Y836" si="27">B773&amp;C773</f>
        <v/>
      </c>
    </row>
    <row r="774" spans="1:25" s="223" customFormat="1" ht="20.25">
      <c r="A774" s="291"/>
      <c r="B774" s="292" t="str">
        <f>IF(LEN(A774)=0,"",INDEX('Smelter Reference List'!$A:$A,MATCH($A774,'Smelter Reference List'!$E:$E,0)))</f>
        <v/>
      </c>
      <c r="C774" s="298" t="str">
        <f>IF(LEN(A774)=0,"",INDEX('Smelter Reference List'!$C:$C,MATCH($A774,'Smelter Reference List'!$E:$E,0)))</f>
        <v/>
      </c>
      <c r="D774" s="292" t="str">
        <f ca="1">IF(ISERROR($S774),"",OFFSET('Smelter Reference List'!$C$4,$S774-4,0)&amp;"")</f>
        <v/>
      </c>
      <c r="E774" s="292" t="str">
        <f ca="1">IF(ISERROR($S774),"",OFFSET('Smelter Reference List'!$D$4,$S774-4,0)&amp;"")</f>
        <v/>
      </c>
      <c r="F774" s="292" t="str">
        <f ca="1">IF(ISERROR($S774),"",OFFSET('Smelter Reference List'!$E$4,$S774-4,0))</f>
        <v/>
      </c>
      <c r="G774" s="292" t="str">
        <f ca="1">IF(C774=$U$4,"Enter smelter details", IF(ISERROR($S774),"",OFFSET('Smelter Reference List'!$F$4,$S774-4,0)))</f>
        <v/>
      </c>
      <c r="H774" s="293" t="str">
        <f ca="1">IF(ISERROR($S774),"",OFFSET('Smelter Reference List'!$G$4,$S774-4,0))</f>
        <v/>
      </c>
      <c r="I774" s="294" t="str">
        <f ca="1">IF(ISERROR($S774),"",OFFSET('Smelter Reference List'!$H$4,$S774-4,0))</f>
        <v/>
      </c>
      <c r="J774" s="294" t="str">
        <f ca="1">IF(ISERROR($S774),"",OFFSET('Smelter Reference List'!$I$4,$S774-4,0))</f>
        <v/>
      </c>
      <c r="K774" s="295"/>
      <c r="L774" s="295"/>
      <c r="M774" s="295"/>
      <c r="N774" s="295"/>
      <c r="O774" s="295"/>
      <c r="P774" s="295"/>
      <c r="Q774" s="296"/>
      <c r="R774" s="227"/>
      <c r="S774" s="228" t="e">
        <f>IF(C774="",NA(),MATCH($B774&amp;$C774,'Smelter Reference List'!$J:$J,0))</f>
        <v>#N/A</v>
      </c>
      <c r="T774" s="229"/>
      <c r="U774" s="229">
        <f t="shared" ca="1" si="26"/>
        <v>0</v>
      </c>
      <c r="V774" s="229"/>
      <c r="W774" s="229"/>
      <c r="Y774" s="223" t="str">
        <f t="shared" si="27"/>
        <v/>
      </c>
    </row>
    <row r="775" spans="1:25" s="223" customFormat="1" ht="20.25">
      <c r="A775" s="291"/>
      <c r="B775" s="292" t="str">
        <f>IF(LEN(A775)=0,"",INDEX('Smelter Reference List'!$A:$A,MATCH($A775,'Smelter Reference List'!$E:$E,0)))</f>
        <v/>
      </c>
      <c r="C775" s="298" t="str">
        <f>IF(LEN(A775)=0,"",INDEX('Smelter Reference List'!$C:$C,MATCH($A775,'Smelter Reference List'!$E:$E,0)))</f>
        <v/>
      </c>
      <c r="D775" s="292" t="str">
        <f ca="1">IF(ISERROR($S775),"",OFFSET('Smelter Reference List'!$C$4,$S775-4,0)&amp;"")</f>
        <v/>
      </c>
      <c r="E775" s="292" t="str">
        <f ca="1">IF(ISERROR($S775),"",OFFSET('Smelter Reference List'!$D$4,$S775-4,0)&amp;"")</f>
        <v/>
      </c>
      <c r="F775" s="292" t="str">
        <f ca="1">IF(ISERROR($S775),"",OFFSET('Smelter Reference List'!$E$4,$S775-4,0))</f>
        <v/>
      </c>
      <c r="G775" s="292" t="str">
        <f ca="1">IF(C775=$U$4,"Enter smelter details", IF(ISERROR($S775),"",OFFSET('Smelter Reference List'!$F$4,$S775-4,0)))</f>
        <v/>
      </c>
      <c r="H775" s="293" t="str">
        <f ca="1">IF(ISERROR($S775),"",OFFSET('Smelter Reference List'!$G$4,$S775-4,0))</f>
        <v/>
      </c>
      <c r="I775" s="294" t="str">
        <f ca="1">IF(ISERROR($S775),"",OFFSET('Smelter Reference List'!$H$4,$S775-4,0))</f>
        <v/>
      </c>
      <c r="J775" s="294" t="str">
        <f ca="1">IF(ISERROR($S775),"",OFFSET('Smelter Reference List'!$I$4,$S775-4,0))</f>
        <v/>
      </c>
      <c r="K775" s="295"/>
      <c r="L775" s="295"/>
      <c r="M775" s="295"/>
      <c r="N775" s="295"/>
      <c r="O775" s="295"/>
      <c r="P775" s="295"/>
      <c r="Q775" s="296"/>
      <c r="R775" s="227"/>
      <c r="S775" s="228" t="e">
        <f>IF(C775="",NA(),MATCH($B775&amp;$C775,'Smelter Reference List'!$J:$J,0))</f>
        <v>#N/A</v>
      </c>
      <c r="T775" s="229"/>
      <c r="U775" s="229">
        <f t="shared" ca="1" si="26"/>
        <v>0</v>
      </c>
      <c r="V775" s="229"/>
      <c r="W775" s="229"/>
      <c r="Y775" s="223" t="str">
        <f t="shared" si="27"/>
        <v/>
      </c>
    </row>
    <row r="776" spans="1:25" s="223" customFormat="1" ht="20.25">
      <c r="A776" s="291"/>
      <c r="B776" s="292" t="str">
        <f>IF(LEN(A776)=0,"",INDEX('Smelter Reference List'!$A:$A,MATCH($A776,'Smelter Reference List'!$E:$E,0)))</f>
        <v/>
      </c>
      <c r="C776" s="298" t="str">
        <f>IF(LEN(A776)=0,"",INDEX('Smelter Reference List'!$C:$C,MATCH($A776,'Smelter Reference List'!$E:$E,0)))</f>
        <v/>
      </c>
      <c r="D776" s="292" t="str">
        <f ca="1">IF(ISERROR($S776),"",OFFSET('Smelter Reference List'!$C$4,$S776-4,0)&amp;"")</f>
        <v/>
      </c>
      <c r="E776" s="292" t="str">
        <f ca="1">IF(ISERROR($S776),"",OFFSET('Smelter Reference List'!$D$4,$S776-4,0)&amp;"")</f>
        <v/>
      </c>
      <c r="F776" s="292" t="str">
        <f ca="1">IF(ISERROR($S776),"",OFFSET('Smelter Reference List'!$E$4,$S776-4,0))</f>
        <v/>
      </c>
      <c r="G776" s="292" t="str">
        <f ca="1">IF(C776=$U$4,"Enter smelter details", IF(ISERROR($S776),"",OFFSET('Smelter Reference List'!$F$4,$S776-4,0)))</f>
        <v/>
      </c>
      <c r="H776" s="293" t="str">
        <f ca="1">IF(ISERROR($S776),"",OFFSET('Smelter Reference List'!$G$4,$S776-4,0))</f>
        <v/>
      </c>
      <c r="I776" s="294" t="str">
        <f ca="1">IF(ISERROR($S776),"",OFFSET('Smelter Reference List'!$H$4,$S776-4,0))</f>
        <v/>
      </c>
      <c r="J776" s="294" t="str">
        <f ca="1">IF(ISERROR($S776),"",OFFSET('Smelter Reference List'!$I$4,$S776-4,0))</f>
        <v/>
      </c>
      <c r="K776" s="295"/>
      <c r="L776" s="295"/>
      <c r="M776" s="295"/>
      <c r="N776" s="295"/>
      <c r="O776" s="295"/>
      <c r="P776" s="295"/>
      <c r="Q776" s="296"/>
      <c r="R776" s="227"/>
      <c r="S776" s="228" t="e">
        <f>IF(C776="",NA(),MATCH($B776&amp;$C776,'Smelter Reference List'!$J:$J,0))</f>
        <v>#N/A</v>
      </c>
      <c r="T776" s="229"/>
      <c r="U776" s="229">
        <f t="shared" ca="1" si="26"/>
        <v>0</v>
      </c>
      <c r="V776" s="229"/>
      <c r="W776" s="229"/>
      <c r="Y776" s="223" t="str">
        <f t="shared" si="27"/>
        <v/>
      </c>
    </row>
    <row r="777" spans="1:25" s="223" customFormat="1" ht="20.25">
      <c r="A777" s="291"/>
      <c r="B777" s="292" t="str">
        <f>IF(LEN(A777)=0,"",INDEX('Smelter Reference List'!$A:$A,MATCH($A777,'Smelter Reference List'!$E:$E,0)))</f>
        <v/>
      </c>
      <c r="C777" s="298" t="str">
        <f>IF(LEN(A777)=0,"",INDEX('Smelter Reference List'!$C:$C,MATCH($A777,'Smelter Reference List'!$E:$E,0)))</f>
        <v/>
      </c>
      <c r="D777" s="292" t="str">
        <f ca="1">IF(ISERROR($S777),"",OFFSET('Smelter Reference List'!$C$4,$S777-4,0)&amp;"")</f>
        <v/>
      </c>
      <c r="E777" s="292" t="str">
        <f ca="1">IF(ISERROR($S777),"",OFFSET('Smelter Reference List'!$D$4,$S777-4,0)&amp;"")</f>
        <v/>
      </c>
      <c r="F777" s="292" t="str">
        <f ca="1">IF(ISERROR($S777),"",OFFSET('Smelter Reference List'!$E$4,$S777-4,0))</f>
        <v/>
      </c>
      <c r="G777" s="292" t="str">
        <f ca="1">IF(C777=$U$4,"Enter smelter details", IF(ISERROR($S777),"",OFFSET('Smelter Reference List'!$F$4,$S777-4,0)))</f>
        <v/>
      </c>
      <c r="H777" s="293" t="str">
        <f ca="1">IF(ISERROR($S777),"",OFFSET('Smelter Reference List'!$G$4,$S777-4,0))</f>
        <v/>
      </c>
      <c r="I777" s="294" t="str">
        <f ca="1">IF(ISERROR($S777),"",OFFSET('Smelter Reference List'!$H$4,$S777-4,0))</f>
        <v/>
      </c>
      <c r="J777" s="294" t="str">
        <f ca="1">IF(ISERROR($S777),"",OFFSET('Smelter Reference List'!$I$4,$S777-4,0))</f>
        <v/>
      </c>
      <c r="K777" s="295"/>
      <c r="L777" s="295"/>
      <c r="M777" s="295"/>
      <c r="N777" s="295"/>
      <c r="O777" s="295"/>
      <c r="P777" s="295"/>
      <c r="Q777" s="296"/>
      <c r="R777" s="227"/>
      <c r="S777" s="228" t="e">
        <f>IF(C777="",NA(),MATCH($B777&amp;$C777,'Smelter Reference List'!$J:$J,0))</f>
        <v>#N/A</v>
      </c>
      <c r="T777" s="229"/>
      <c r="U777" s="229">
        <f t="shared" ca="1" si="26"/>
        <v>0</v>
      </c>
      <c r="V777" s="229"/>
      <c r="W777" s="229"/>
      <c r="Y777" s="223" t="str">
        <f t="shared" si="27"/>
        <v/>
      </c>
    </row>
    <row r="778" spans="1:25" s="223" customFormat="1" ht="20.25">
      <c r="A778" s="291"/>
      <c r="B778" s="292" t="str">
        <f>IF(LEN(A778)=0,"",INDEX('Smelter Reference List'!$A:$A,MATCH($A778,'Smelter Reference List'!$E:$E,0)))</f>
        <v/>
      </c>
      <c r="C778" s="298" t="str">
        <f>IF(LEN(A778)=0,"",INDEX('Smelter Reference List'!$C:$C,MATCH($A778,'Smelter Reference List'!$E:$E,0)))</f>
        <v/>
      </c>
      <c r="D778" s="292" t="str">
        <f ca="1">IF(ISERROR($S778),"",OFFSET('Smelter Reference List'!$C$4,$S778-4,0)&amp;"")</f>
        <v/>
      </c>
      <c r="E778" s="292" t="str">
        <f ca="1">IF(ISERROR($S778),"",OFFSET('Smelter Reference List'!$D$4,$S778-4,0)&amp;"")</f>
        <v/>
      </c>
      <c r="F778" s="292" t="str">
        <f ca="1">IF(ISERROR($S778),"",OFFSET('Smelter Reference List'!$E$4,$S778-4,0))</f>
        <v/>
      </c>
      <c r="G778" s="292" t="str">
        <f ca="1">IF(C778=$U$4,"Enter smelter details", IF(ISERROR($S778),"",OFFSET('Smelter Reference List'!$F$4,$S778-4,0)))</f>
        <v/>
      </c>
      <c r="H778" s="293" t="str">
        <f ca="1">IF(ISERROR($S778),"",OFFSET('Smelter Reference List'!$G$4,$S778-4,0))</f>
        <v/>
      </c>
      <c r="I778" s="294" t="str">
        <f ca="1">IF(ISERROR($S778),"",OFFSET('Smelter Reference List'!$H$4,$S778-4,0))</f>
        <v/>
      </c>
      <c r="J778" s="294" t="str">
        <f ca="1">IF(ISERROR($S778),"",OFFSET('Smelter Reference List'!$I$4,$S778-4,0))</f>
        <v/>
      </c>
      <c r="K778" s="295"/>
      <c r="L778" s="295"/>
      <c r="M778" s="295"/>
      <c r="N778" s="295"/>
      <c r="O778" s="295"/>
      <c r="P778" s="295"/>
      <c r="Q778" s="296"/>
      <c r="R778" s="227"/>
      <c r="S778" s="228" t="e">
        <f>IF(C778="",NA(),MATCH($B778&amp;$C778,'Smelter Reference List'!$J:$J,0))</f>
        <v>#N/A</v>
      </c>
      <c r="T778" s="229"/>
      <c r="U778" s="229">
        <f t="shared" ca="1" si="26"/>
        <v>0</v>
      </c>
      <c r="V778" s="229"/>
      <c r="W778" s="229"/>
      <c r="Y778" s="223" t="str">
        <f t="shared" si="27"/>
        <v/>
      </c>
    </row>
    <row r="779" spans="1:25" s="223" customFormat="1" ht="20.25">
      <c r="A779" s="291"/>
      <c r="B779" s="292" t="str">
        <f>IF(LEN(A779)=0,"",INDEX('Smelter Reference List'!$A:$A,MATCH($A779,'Smelter Reference List'!$E:$E,0)))</f>
        <v/>
      </c>
      <c r="C779" s="298" t="str">
        <f>IF(LEN(A779)=0,"",INDEX('Smelter Reference List'!$C:$C,MATCH($A779,'Smelter Reference List'!$E:$E,0)))</f>
        <v/>
      </c>
      <c r="D779" s="292" t="str">
        <f ca="1">IF(ISERROR($S779),"",OFFSET('Smelter Reference List'!$C$4,$S779-4,0)&amp;"")</f>
        <v/>
      </c>
      <c r="E779" s="292" t="str">
        <f ca="1">IF(ISERROR($S779),"",OFFSET('Smelter Reference List'!$D$4,$S779-4,0)&amp;"")</f>
        <v/>
      </c>
      <c r="F779" s="292" t="str">
        <f ca="1">IF(ISERROR($S779),"",OFFSET('Smelter Reference List'!$E$4,$S779-4,0))</f>
        <v/>
      </c>
      <c r="G779" s="292" t="str">
        <f ca="1">IF(C779=$U$4,"Enter smelter details", IF(ISERROR($S779),"",OFFSET('Smelter Reference List'!$F$4,$S779-4,0)))</f>
        <v/>
      </c>
      <c r="H779" s="293" t="str">
        <f ca="1">IF(ISERROR($S779),"",OFFSET('Smelter Reference List'!$G$4,$S779-4,0))</f>
        <v/>
      </c>
      <c r="I779" s="294" t="str">
        <f ca="1">IF(ISERROR($S779),"",OFFSET('Smelter Reference List'!$H$4,$S779-4,0))</f>
        <v/>
      </c>
      <c r="J779" s="294" t="str">
        <f ca="1">IF(ISERROR($S779),"",OFFSET('Smelter Reference List'!$I$4,$S779-4,0))</f>
        <v/>
      </c>
      <c r="K779" s="295"/>
      <c r="L779" s="295"/>
      <c r="M779" s="295"/>
      <c r="N779" s="295"/>
      <c r="O779" s="295"/>
      <c r="P779" s="295"/>
      <c r="Q779" s="296"/>
      <c r="R779" s="227"/>
      <c r="S779" s="228" t="e">
        <f>IF(C779="",NA(),MATCH($B779&amp;$C779,'Smelter Reference List'!$J:$J,0))</f>
        <v>#N/A</v>
      </c>
      <c r="T779" s="229"/>
      <c r="U779" s="229">
        <f t="shared" ca="1" si="26"/>
        <v>0</v>
      </c>
      <c r="V779" s="229"/>
      <c r="W779" s="229"/>
      <c r="Y779" s="223" t="str">
        <f t="shared" si="27"/>
        <v/>
      </c>
    </row>
    <row r="780" spans="1:25" s="223" customFormat="1" ht="20.25">
      <c r="A780" s="291"/>
      <c r="B780" s="292" t="str">
        <f>IF(LEN(A780)=0,"",INDEX('Smelter Reference List'!$A:$A,MATCH($A780,'Smelter Reference List'!$E:$E,0)))</f>
        <v/>
      </c>
      <c r="C780" s="298" t="str">
        <f>IF(LEN(A780)=0,"",INDEX('Smelter Reference List'!$C:$C,MATCH($A780,'Smelter Reference List'!$E:$E,0)))</f>
        <v/>
      </c>
      <c r="D780" s="292" t="str">
        <f ca="1">IF(ISERROR($S780),"",OFFSET('Smelter Reference List'!$C$4,$S780-4,0)&amp;"")</f>
        <v/>
      </c>
      <c r="E780" s="292" t="str">
        <f ca="1">IF(ISERROR($S780),"",OFFSET('Smelter Reference List'!$D$4,$S780-4,0)&amp;"")</f>
        <v/>
      </c>
      <c r="F780" s="292" t="str">
        <f ca="1">IF(ISERROR($S780),"",OFFSET('Smelter Reference List'!$E$4,$S780-4,0))</f>
        <v/>
      </c>
      <c r="G780" s="292" t="str">
        <f ca="1">IF(C780=$U$4,"Enter smelter details", IF(ISERROR($S780),"",OFFSET('Smelter Reference List'!$F$4,$S780-4,0)))</f>
        <v/>
      </c>
      <c r="H780" s="293" t="str">
        <f ca="1">IF(ISERROR($S780),"",OFFSET('Smelter Reference List'!$G$4,$S780-4,0))</f>
        <v/>
      </c>
      <c r="I780" s="294" t="str">
        <f ca="1">IF(ISERROR($S780),"",OFFSET('Smelter Reference List'!$H$4,$S780-4,0))</f>
        <v/>
      </c>
      <c r="J780" s="294" t="str">
        <f ca="1">IF(ISERROR($S780),"",OFFSET('Smelter Reference List'!$I$4,$S780-4,0))</f>
        <v/>
      </c>
      <c r="K780" s="295"/>
      <c r="L780" s="295"/>
      <c r="M780" s="295"/>
      <c r="N780" s="295"/>
      <c r="O780" s="295"/>
      <c r="P780" s="295"/>
      <c r="Q780" s="296"/>
      <c r="R780" s="227"/>
      <c r="S780" s="228" t="e">
        <f>IF(C780="",NA(),MATCH($B780&amp;$C780,'Smelter Reference List'!$J:$J,0))</f>
        <v>#N/A</v>
      </c>
      <c r="T780" s="229"/>
      <c r="U780" s="229">
        <f t="shared" ca="1" si="26"/>
        <v>0</v>
      </c>
      <c r="V780" s="229"/>
      <c r="W780" s="229"/>
      <c r="Y780" s="223" t="str">
        <f t="shared" si="27"/>
        <v/>
      </c>
    </row>
    <row r="781" spans="1:25" s="223" customFormat="1" ht="20.25">
      <c r="A781" s="291"/>
      <c r="B781" s="292" t="str">
        <f>IF(LEN(A781)=0,"",INDEX('Smelter Reference List'!$A:$A,MATCH($A781,'Smelter Reference List'!$E:$E,0)))</f>
        <v/>
      </c>
      <c r="C781" s="298" t="str">
        <f>IF(LEN(A781)=0,"",INDEX('Smelter Reference List'!$C:$C,MATCH($A781,'Smelter Reference List'!$E:$E,0)))</f>
        <v/>
      </c>
      <c r="D781" s="292" t="str">
        <f ca="1">IF(ISERROR($S781),"",OFFSET('Smelter Reference List'!$C$4,$S781-4,0)&amp;"")</f>
        <v/>
      </c>
      <c r="E781" s="292" t="str">
        <f ca="1">IF(ISERROR($S781),"",OFFSET('Smelter Reference List'!$D$4,$S781-4,0)&amp;"")</f>
        <v/>
      </c>
      <c r="F781" s="292" t="str">
        <f ca="1">IF(ISERROR($S781),"",OFFSET('Smelter Reference List'!$E$4,$S781-4,0))</f>
        <v/>
      </c>
      <c r="G781" s="292" t="str">
        <f ca="1">IF(C781=$U$4,"Enter smelter details", IF(ISERROR($S781),"",OFFSET('Smelter Reference List'!$F$4,$S781-4,0)))</f>
        <v/>
      </c>
      <c r="H781" s="293" t="str">
        <f ca="1">IF(ISERROR($S781),"",OFFSET('Smelter Reference List'!$G$4,$S781-4,0))</f>
        <v/>
      </c>
      <c r="I781" s="294" t="str">
        <f ca="1">IF(ISERROR($S781),"",OFFSET('Smelter Reference List'!$H$4,$S781-4,0))</f>
        <v/>
      </c>
      <c r="J781" s="294" t="str">
        <f ca="1">IF(ISERROR($S781),"",OFFSET('Smelter Reference List'!$I$4,$S781-4,0))</f>
        <v/>
      </c>
      <c r="K781" s="295"/>
      <c r="L781" s="295"/>
      <c r="M781" s="295"/>
      <c r="N781" s="295"/>
      <c r="O781" s="295"/>
      <c r="P781" s="295"/>
      <c r="Q781" s="296"/>
      <c r="R781" s="227"/>
      <c r="S781" s="228" t="e">
        <f>IF(C781="",NA(),MATCH($B781&amp;$C781,'Smelter Reference List'!$J:$J,0))</f>
        <v>#N/A</v>
      </c>
      <c r="T781" s="229"/>
      <c r="U781" s="229">
        <f t="shared" ca="1" si="26"/>
        <v>0</v>
      </c>
      <c r="V781" s="229"/>
      <c r="W781" s="229"/>
      <c r="Y781" s="223" t="str">
        <f t="shared" si="27"/>
        <v/>
      </c>
    </row>
    <row r="782" spans="1:25" s="223" customFormat="1" ht="20.25">
      <c r="A782" s="291"/>
      <c r="B782" s="292" t="str">
        <f>IF(LEN(A782)=0,"",INDEX('Smelter Reference List'!$A:$A,MATCH($A782,'Smelter Reference List'!$E:$E,0)))</f>
        <v/>
      </c>
      <c r="C782" s="298" t="str">
        <f>IF(LEN(A782)=0,"",INDEX('Smelter Reference List'!$C:$C,MATCH($A782,'Smelter Reference List'!$E:$E,0)))</f>
        <v/>
      </c>
      <c r="D782" s="292" t="str">
        <f ca="1">IF(ISERROR($S782),"",OFFSET('Smelter Reference List'!$C$4,$S782-4,0)&amp;"")</f>
        <v/>
      </c>
      <c r="E782" s="292" t="str">
        <f ca="1">IF(ISERROR($S782),"",OFFSET('Smelter Reference List'!$D$4,$S782-4,0)&amp;"")</f>
        <v/>
      </c>
      <c r="F782" s="292" t="str">
        <f ca="1">IF(ISERROR($S782),"",OFFSET('Smelter Reference List'!$E$4,$S782-4,0))</f>
        <v/>
      </c>
      <c r="G782" s="292" t="str">
        <f ca="1">IF(C782=$U$4,"Enter smelter details", IF(ISERROR($S782),"",OFFSET('Smelter Reference List'!$F$4,$S782-4,0)))</f>
        <v/>
      </c>
      <c r="H782" s="293" t="str">
        <f ca="1">IF(ISERROR($S782),"",OFFSET('Smelter Reference List'!$G$4,$S782-4,0))</f>
        <v/>
      </c>
      <c r="I782" s="294" t="str">
        <f ca="1">IF(ISERROR($S782),"",OFFSET('Smelter Reference List'!$H$4,$S782-4,0))</f>
        <v/>
      </c>
      <c r="J782" s="294" t="str">
        <f ca="1">IF(ISERROR($S782),"",OFFSET('Smelter Reference List'!$I$4,$S782-4,0))</f>
        <v/>
      </c>
      <c r="K782" s="295"/>
      <c r="L782" s="295"/>
      <c r="M782" s="295"/>
      <c r="N782" s="295"/>
      <c r="O782" s="295"/>
      <c r="P782" s="295"/>
      <c r="Q782" s="296"/>
      <c r="R782" s="227"/>
      <c r="S782" s="228" t="e">
        <f>IF(C782="",NA(),MATCH($B782&amp;$C782,'Smelter Reference List'!$J:$J,0))</f>
        <v>#N/A</v>
      </c>
      <c r="T782" s="229"/>
      <c r="U782" s="229">
        <f t="shared" ca="1" si="26"/>
        <v>0</v>
      </c>
      <c r="V782" s="229"/>
      <c r="W782" s="229"/>
      <c r="Y782" s="223" t="str">
        <f t="shared" si="27"/>
        <v/>
      </c>
    </row>
    <row r="783" spans="1:25" s="223" customFormat="1" ht="20.25">
      <c r="A783" s="291"/>
      <c r="B783" s="292" t="str">
        <f>IF(LEN(A783)=0,"",INDEX('Smelter Reference List'!$A:$A,MATCH($A783,'Smelter Reference List'!$E:$E,0)))</f>
        <v/>
      </c>
      <c r="C783" s="298" t="str">
        <f>IF(LEN(A783)=0,"",INDEX('Smelter Reference List'!$C:$C,MATCH($A783,'Smelter Reference List'!$E:$E,0)))</f>
        <v/>
      </c>
      <c r="D783" s="292" t="str">
        <f ca="1">IF(ISERROR($S783),"",OFFSET('Smelter Reference List'!$C$4,$S783-4,0)&amp;"")</f>
        <v/>
      </c>
      <c r="E783" s="292" t="str">
        <f ca="1">IF(ISERROR($S783),"",OFFSET('Smelter Reference List'!$D$4,$S783-4,0)&amp;"")</f>
        <v/>
      </c>
      <c r="F783" s="292" t="str">
        <f ca="1">IF(ISERROR($S783),"",OFFSET('Smelter Reference List'!$E$4,$S783-4,0))</f>
        <v/>
      </c>
      <c r="G783" s="292" t="str">
        <f ca="1">IF(C783=$U$4,"Enter smelter details", IF(ISERROR($S783),"",OFFSET('Smelter Reference List'!$F$4,$S783-4,0)))</f>
        <v/>
      </c>
      <c r="H783" s="293" t="str">
        <f ca="1">IF(ISERROR($S783),"",OFFSET('Smelter Reference List'!$G$4,$S783-4,0))</f>
        <v/>
      </c>
      <c r="I783" s="294" t="str">
        <f ca="1">IF(ISERROR($S783),"",OFFSET('Smelter Reference List'!$H$4,$S783-4,0))</f>
        <v/>
      </c>
      <c r="J783" s="294" t="str">
        <f ca="1">IF(ISERROR($S783),"",OFFSET('Smelter Reference List'!$I$4,$S783-4,0))</f>
        <v/>
      </c>
      <c r="K783" s="295"/>
      <c r="L783" s="295"/>
      <c r="M783" s="295"/>
      <c r="N783" s="295"/>
      <c r="O783" s="295"/>
      <c r="P783" s="295"/>
      <c r="Q783" s="296"/>
      <c r="R783" s="227"/>
      <c r="S783" s="228" t="e">
        <f>IF(C783="",NA(),MATCH($B783&amp;$C783,'Smelter Reference List'!$J:$J,0))</f>
        <v>#N/A</v>
      </c>
      <c r="T783" s="229"/>
      <c r="U783" s="229">
        <f t="shared" ca="1" si="26"/>
        <v>0</v>
      </c>
      <c r="V783" s="229"/>
      <c r="W783" s="229"/>
      <c r="Y783" s="223" t="str">
        <f t="shared" si="27"/>
        <v/>
      </c>
    </row>
    <row r="784" spans="1:25" s="223" customFormat="1" ht="20.25">
      <c r="A784" s="291"/>
      <c r="B784" s="292" t="str">
        <f>IF(LEN(A784)=0,"",INDEX('Smelter Reference List'!$A:$A,MATCH($A784,'Smelter Reference List'!$E:$E,0)))</f>
        <v/>
      </c>
      <c r="C784" s="298" t="str">
        <f>IF(LEN(A784)=0,"",INDEX('Smelter Reference List'!$C:$C,MATCH($A784,'Smelter Reference List'!$E:$E,0)))</f>
        <v/>
      </c>
      <c r="D784" s="292" t="str">
        <f ca="1">IF(ISERROR($S784),"",OFFSET('Smelter Reference List'!$C$4,$S784-4,0)&amp;"")</f>
        <v/>
      </c>
      <c r="E784" s="292" t="str">
        <f ca="1">IF(ISERROR($S784),"",OFFSET('Smelter Reference List'!$D$4,$S784-4,0)&amp;"")</f>
        <v/>
      </c>
      <c r="F784" s="292" t="str">
        <f ca="1">IF(ISERROR($S784),"",OFFSET('Smelter Reference List'!$E$4,$S784-4,0))</f>
        <v/>
      </c>
      <c r="G784" s="292" t="str">
        <f ca="1">IF(C784=$U$4,"Enter smelter details", IF(ISERROR($S784),"",OFFSET('Smelter Reference List'!$F$4,$S784-4,0)))</f>
        <v/>
      </c>
      <c r="H784" s="293" t="str">
        <f ca="1">IF(ISERROR($S784),"",OFFSET('Smelter Reference List'!$G$4,$S784-4,0))</f>
        <v/>
      </c>
      <c r="I784" s="294" t="str">
        <f ca="1">IF(ISERROR($S784),"",OFFSET('Smelter Reference List'!$H$4,$S784-4,0))</f>
        <v/>
      </c>
      <c r="J784" s="294" t="str">
        <f ca="1">IF(ISERROR($S784),"",OFFSET('Smelter Reference List'!$I$4,$S784-4,0))</f>
        <v/>
      </c>
      <c r="K784" s="295"/>
      <c r="L784" s="295"/>
      <c r="M784" s="295"/>
      <c r="N784" s="295"/>
      <c r="O784" s="295"/>
      <c r="P784" s="295"/>
      <c r="Q784" s="296"/>
      <c r="R784" s="227"/>
      <c r="S784" s="228" t="e">
        <f>IF(C784="",NA(),MATCH($B784&amp;$C784,'Smelter Reference List'!$J:$J,0))</f>
        <v>#N/A</v>
      </c>
      <c r="T784" s="229"/>
      <c r="U784" s="229">
        <f t="shared" ca="1" si="26"/>
        <v>0</v>
      </c>
      <c r="V784" s="229"/>
      <c r="W784" s="229"/>
      <c r="Y784" s="223" t="str">
        <f t="shared" si="27"/>
        <v/>
      </c>
    </row>
    <row r="785" spans="1:25" s="223" customFormat="1" ht="20.25">
      <c r="A785" s="291"/>
      <c r="B785" s="292" t="str">
        <f>IF(LEN(A785)=0,"",INDEX('Smelter Reference List'!$A:$A,MATCH($A785,'Smelter Reference List'!$E:$E,0)))</f>
        <v/>
      </c>
      <c r="C785" s="298" t="str">
        <f>IF(LEN(A785)=0,"",INDEX('Smelter Reference List'!$C:$C,MATCH($A785,'Smelter Reference List'!$E:$E,0)))</f>
        <v/>
      </c>
      <c r="D785" s="292" t="str">
        <f ca="1">IF(ISERROR($S785),"",OFFSET('Smelter Reference List'!$C$4,$S785-4,0)&amp;"")</f>
        <v/>
      </c>
      <c r="E785" s="292" t="str">
        <f ca="1">IF(ISERROR($S785),"",OFFSET('Smelter Reference List'!$D$4,$S785-4,0)&amp;"")</f>
        <v/>
      </c>
      <c r="F785" s="292" t="str">
        <f ca="1">IF(ISERROR($S785),"",OFFSET('Smelter Reference List'!$E$4,$S785-4,0))</f>
        <v/>
      </c>
      <c r="G785" s="292" t="str">
        <f ca="1">IF(C785=$U$4,"Enter smelter details", IF(ISERROR($S785),"",OFFSET('Smelter Reference List'!$F$4,$S785-4,0)))</f>
        <v/>
      </c>
      <c r="H785" s="293" t="str">
        <f ca="1">IF(ISERROR($S785),"",OFFSET('Smelter Reference List'!$G$4,$S785-4,0))</f>
        <v/>
      </c>
      <c r="I785" s="294" t="str">
        <f ca="1">IF(ISERROR($S785),"",OFFSET('Smelter Reference List'!$H$4,$S785-4,0))</f>
        <v/>
      </c>
      <c r="J785" s="294" t="str">
        <f ca="1">IF(ISERROR($S785),"",OFFSET('Smelter Reference List'!$I$4,$S785-4,0))</f>
        <v/>
      </c>
      <c r="K785" s="295"/>
      <c r="L785" s="295"/>
      <c r="M785" s="295"/>
      <c r="N785" s="295"/>
      <c r="O785" s="295"/>
      <c r="P785" s="295"/>
      <c r="Q785" s="296"/>
      <c r="R785" s="227"/>
      <c r="S785" s="228" t="e">
        <f>IF(C785="",NA(),MATCH($B785&amp;$C785,'Smelter Reference List'!$J:$J,0))</f>
        <v>#N/A</v>
      </c>
      <c r="T785" s="229"/>
      <c r="U785" s="229">
        <f t="shared" ca="1" si="26"/>
        <v>0</v>
      </c>
      <c r="V785" s="229"/>
      <c r="W785" s="229"/>
      <c r="Y785" s="223" t="str">
        <f t="shared" si="27"/>
        <v/>
      </c>
    </row>
    <row r="786" spans="1:25" s="223" customFormat="1" ht="20.25">
      <c r="A786" s="291"/>
      <c r="B786" s="292" t="str">
        <f>IF(LEN(A786)=0,"",INDEX('Smelter Reference List'!$A:$A,MATCH($A786,'Smelter Reference List'!$E:$E,0)))</f>
        <v/>
      </c>
      <c r="C786" s="298" t="str">
        <f>IF(LEN(A786)=0,"",INDEX('Smelter Reference List'!$C:$C,MATCH($A786,'Smelter Reference List'!$E:$E,0)))</f>
        <v/>
      </c>
      <c r="D786" s="292" t="str">
        <f ca="1">IF(ISERROR($S786),"",OFFSET('Smelter Reference List'!$C$4,$S786-4,0)&amp;"")</f>
        <v/>
      </c>
      <c r="E786" s="292" t="str">
        <f ca="1">IF(ISERROR($S786),"",OFFSET('Smelter Reference List'!$D$4,$S786-4,0)&amp;"")</f>
        <v/>
      </c>
      <c r="F786" s="292" t="str">
        <f ca="1">IF(ISERROR($S786),"",OFFSET('Smelter Reference List'!$E$4,$S786-4,0))</f>
        <v/>
      </c>
      <c r="G786" s="292" t="str">
        <f ca="1">IF(C786=$U$4,"Enter smelter details", IF(ISERROR($S786),"",OFFSET('Smelter Reference List'!$F$4,$S786-4,0)))</f>
        <v/>
      </c>
      <c r="H786" s="293" t="str">
        <f ca="1">IF(ISERROR($S786),"",OFFSET('Smelter Reference List'!$G$4,$S786-4,0))</f>
        <v/>
      </c>
      <c r="I786" s="294" t="str">
        <f ca="1">IF(ISERROR($S786),"",OFFSET('Smelter Reference List'!$H$4,$S786-4,0))</f>
        <v/>
      </c>
      <c r="J786" s="294" t="str">
        <f ca="1">IF(ISERROR($S786),"",OFFSET('Smelter Reference List'!$I$4,$S786-4,0))</f>
        <v/>
      </c>
      <c r="K786" s="295"/>
      <c r="L786" s="295"/>
      <c r="M786" s="295"/>
      <c r="N786" s="295"/>
      <c r="O786" s="295"/>
      <c r="P786" s="295"/>
      <c r="Q786" s="296"/>
      <c r="R786" s="227"/>
      <c r="S786" s="228" t="e">
        <f>IF(C786="",NA(),MATCH($B786&amp;$C786,'Smelter Reference List'!$J:$J,0))</f>
        <v>#N/A</v>
      </c>
      <c r="T786" s="229"/>
      <c r="U786" s="229">
        <f t="shared" ca="1" si="26"/>
        <v>0</v>
      </c>
      <c r="V786" s="229"/>
      <c r="W786" s="229"/>
      <c r="Y786" s="223" t="str">
        <f t="shared" si="27"/>
        <v/>
      </c>
    </row>
    <row r="787" spans="1:25" s="223" customFormat="1" ht="20.25">
      <c r="A787" s="291"/>
      <c r="B787" s="292" t="str">
        <f>IF(LEN(A787)=0,"",INDEX('Smelter Reference List'!$A:$A,MATCH($A787,'Smelter Reference List'!$E:$E,0)))</f>
        <v/>
      </c>
      <c r="C787" s="298" t="str">
        <f>IF(LEN(A787)=0,"",INDEX('Smelter Reference List'!$C:$C,MATCH($A787,'Smelter Reference List'!$E:$E,0)))</f>
        <v/>
      </c>
      <c r="D787" s="292" t="str">
        <f ca="1">IF(ISERROR($S787),"",OFFSET('Smelter Reference List'!$C$4,$S787-4,0)&amp;"")</f>
        <v/>
      </c>
      <c r="E787" s="292" t="str">
        <f ca="1">IF(ISERROR($S787),"",OFFSET('Smelter Reference List'!$D$4,$S787-4,0)&amp;"")</f>
        <v/>
      </c>
      <c r="F787" s="292" t="str">
        <f ca="1">IF(ISERROR($S787),"",OFFSET('Smelter Reference List'!$E$4,$S787-4,0))</f>
        <v/>
      </c>
      <c r="G787" s="292" t="str">
        <f ca="1">IF(C787=$U$4,"Enter smelter details", IF(ISERROR($S787),"",OFFSET('Smelter Reference List'!$F$4,$S787-4,0)))</f>
        <v/>
      </c>
      <c r="H787" s="293" t="str">
        <f ca="1">IF(ISERROR($S787),"",OFFSET('Smelter Reference List'!$G$4,$S787-4,0))</f>
        <v/>
      </c>
      <c r="I787" s="294" t="str">
        <f ca="1">IF(ISERROR($S787),"",OFFSET('Smelter Reference List'!$H$4,$S787-4,0))</f>
        <v/>
      </c>
      <c r="J787" s="294" t="str">
        <f ca="1">IF(ISERROR($S787),"",OFFSET('Smelter Reference List'!$I$4,$S787-4,0))</f>
        <v/>
      </c>
      <c r="K787" s="295"/>
      <c r="L787" s="295"/>
      <c r="M787" s="295"/>
      <c r="N787" s="295"/>
      <c r="O787" s="295"/>
      <c r="P787" s="295"/>
      <c r="Q787" s="296"/>
      <c r="R787" s="227"/>
      <c r="S787" s="228" t="e">
        <f>IF(C787="",NA(),MATCH($B787&amp;$C787,'Smelter Reference List'!$J:$J,0))</f>
        <v>#N/A</v>
      </c>
      <c r="T787" s="229"/>
      <c r="U787" s="229">
        <f t="shared" ca="1" si="26"/>
        <v>0</v>
      </c>
      <c r="V787" s="229"/>
      <c r="W787" s="229"/>
      <c r="Y787" s="223" t="str">
        <f t="shared" si="27"/>
        <v/>
      </c>
    </row>
    <row r="788" spans="1:25" s="223" customFormat="1" ht="20.25">
      <c r="A788" s="291"/>
      <c r="B788" s="292" t="str">
        <f>IF(LEN(A788)=0,"",INDEX('Smelter Reference List'!$A:$A,MATCH($A788,'Smelter Reference List'!$E:$E,0)))</f>
        <v/>
      </c>
      <c r="C788" s="298" t="str">
        <f>IF(LEN(A788)=0,"",INDEX('Smelter Reference List'!$C:$C,MATCH($A788,'Smelter Reference List'!$E:$E,0)))</f>
        <v/>
      </c>
      <c r="D788" s="292" t="str">
        <f ca="1">IF(ISERROR($S788),"",OFFSET('Smelter Reference List'!$C$4,$S788-4,0)&amp;"")</f>
        <v/>
      </c>
      <c r="E788" s="292" t="str">
        <f ca="1">IF(ISERROR($S788),"",OFFSET('Smelter Reference List'!$D$4,$S788-4,0)&amp;"")</f>
        <v/>
      </c>
      <c r="F788" s="292" t="str">
        <f ca="1">IF(ISERROR($S788),"",OFFSET('Smelter Reference List'!$E$4,$S788-4,0))</f>
        <v/>
      </c>
      <c r="G788" s="292" t="str">
        <f ca="1">IF(C788=$U$4,"Enter smelter details", IF(ISERROR($S788),"",OFFSET('Smelter Reference List'!$F$4,$S788-4,0)))</f>
        <v/>
      </c>
      <c r="H788" s="293" t="str">
        <f ca="1">IF(ISERROR($S788),"",OFFSET('Smelter Reference List'!$G$4,$S788-4,0))</f>
        <v/>
      </c>
      <c r="I788" s="294" t="str">
        <f ca="1">IF(ISERROR($S788),"",OFFSET('Smelter Reference List'!$H$4,$S788-4,0))</f>
        <v/>
      </c>
      <c r="J788" s="294" t="str">
        <f ca="1">IF(ISERROR($S788),"",OFFSET('Smelter Reference List'!$I$4,$S788-4,0))</f>
        <v/>
      </c>
      <c r="K788" s="295"/>
      <c r="L788" s="295"/>
      <c r="M788" s="295"/>
      <c r="N788" s="295"/>
      <c r="O788" s="295"/>
      <c r="P788" s="295"/>
      <c r="Q788" s="296"/>
      <c r="R788" s="227"/>
      <c r="S788" s="228" t="e">
        <f>IF(C788="",NA(),MATCH($B788&amp;$C788,'Smelter Reference List'!$J:$J,0))</f>
        <v>#N/A</v>
      </c>
      <c r="T788" s="229"/>
      <c r="U788" s="229">
        <f t="shared" ca="1" si="26"/>
        <v>0</v>
      </c>
      <c r="V788" s="229"/>
      <c r="W788" s="229"/>
      <c r="Y788" s="223" t="str">
        <f t="shared" si="27"/>
        <v/>
      </c>
    </row>
    <row r="789" spans="1:25" s="223" customFormat="1" ht="20.25">
      <c r="A789" s="291"/>
      <c r="B789" s="292" t="str">
        <f>IF(LEN(A789)=0,"",INDEX('Smelter Reference List'!$A:$A,MATCH($A789,'Smelter Reference List'!$E:$E,0)))</f>
        <v/>
      </c>
      <c r="C789" s="298" t="str">
        <f>IF(LEN(A789)=0,"",INDEX('Smelter Reference List'!$C:$C,MATCH($A789,'Smelter Reference List'!$E:$E,0)))</f>
        <v/>
      </c>
      <c r="D789" s="292" t="str">
        <f ca="1">IF(ISERROR($S789),"",OFFSET('Smelter Reference List'!$C$4,$S789-4,0)&amp;"")</f>
        <v/>
      </c>
      <c r="E789" s="292" t="str">
        <f ca="1">IF(ISERROR($S789),"",OFFSET('Smelter Reference List'!$D$4,$S789-4,0)&amp;"")</f>
        <v/>
      </c>
      <c r="F789" s="292" t="str">
        <f ca="1">IF(ISERROR($S789),"",OFFSET('Smelter Reference List'!$E$4,$S789-4,0))</f>
        <v/>
      </c>
      <c r="G789" s="292" t="str">
        <f ca="1">IF(C789=$U$4,"Enter smelter details", IF(ISERROR($S789),"",OFFSET('Smelter Reference List'!$F$4,$S789-4,0)))</f>
        <v/>
      </c>
      <c r="H789" s="293" t="str">
        <f ca="1">IF(ISERROR($S789),"",OFFSET('Smelter Reference List'!$G$4,$S789-4,0))</f>
        <v/>
      </c>
      <c r="I789" s="294" t="str">
        <f ca="1">IF(ISERROR($S789),"",OFFSET('Smelter Reference List'!$H$4,$S789-4,0))</f>
        <v/>
      </c>
      <c r="J789" s="294" t="str">
        <f ca="1">IF(ISERROR($S789),"",OFFSET('Smelter Reference List'!$I$4,$S789-4,0))</f>
        <v/>
      </c>
      <c r="K789" s="295"/>
      <c r="L789" s="295"/>
      <c r="M789" s="295"/>
      <c r="N789" s="295"/>
      <c r="O789" s="295"/>
      <c r="P789" s="295"/>
      <c r="Q789" s="296"/>
      <c r="R789" s="227"/>
      <c r="S789" s="228" t="e">
        <f>IF(C789="",NA(),MATCH($B789&amp;$C789,'Smelter Reference List'!$J:$J,0))</f>
        <v>#N/A</v>
      </c>
      <c r="T789" s="229"/>
      <c r="U789" s="229">
        <f t="shared" ca="1" si="26"/>
        <v>0</v>
      </c>
      <c r="V789" s="229"/>
      <c r="W789" s="229"/>
      <c r="Y789" s="223" t="str">
        <f t="shared" si="27"/>
        <v/>
      </c>
    </row>
    <row r="790" spans="1:25" s="223" customFormat="1" ht="20.25">
      <c r="A790" s="291"/>
      <c r="B790" s="292" t="str">
        <f>IF(LEN(A790)=0,"",INDEX('Smelter Reference List'!$A:$A,MATCH($A790,'Smelter Reference List'!$E:$E,0)))</f>
        <v/>
      </c>
      <c r="C790" s="298" t="str">
        <f>IF(LEN(A790)=0,"",INDEX('Smelter Reference List'!$C:$C,MATCH($A790,'Smelter Reference List'!$E:$E,0)))</f>
        <v/>
      </c>
      <c r="D790" s="292" t="str">
        <f ca="1">IF(ISERROR($S790),"",OFFSET('Smelter Reference List'!$C$4,$S790-4,0)&amp;"")</f>
        <v/>
      </c>
      <c r="E790" s="292" t="str">
        <f ca="1">IF(ISERROR($S790),"",OFFSET('Smelter Reference List'!$D$4,$S790-4,0)&amp;"")</f>
        <v/>
      </c>
      <c r="F790" s="292" t="str">
        <f ca="1">IF(ISERROR($S790),"",OFFSET('Smelter Reference List'!$E$4,$S790-4,0))</f>
        <v/>
      </c>
      <c r="G790" s="292" t="str">
        <f ca="1">IF(C790=$U$4,"Enter smelter details", IF(ISERROR($S790),"",OFFSET('Smelter Reference List'!$F$4,$S790-4,0)))</f>
        <v/>
      </c>
      <c r="H790" s="293" t="str">
        <f ca="1">IF(ISERROR($S790),"",OFFSET('Smelter Reference List'!$G$4,$S790-4,0))</f>
        <v/>
      </c>
      <c r="I790" s="294" t="str">
        <f ca="1">IF(ISERROR($S790),"",OFFSET('Smelter Reference List'!$H$4,$S790-4,0))</f>
        <v/>
      </c>
      <c r="J790" s="294" t="str">
        <f ca="1">IF(ISERROR($S790),"",OFFSET('Smelter Reference List'!$I$4,$S790-4,0))</f>
        <v/>
      </c>
      <c r="K790" s="295"/>
      <c r="L790" s="295"/>
      <c r="M790" s="295"/>
      <c r="N790" s="295"/>
      <c r="O790" s="295"/>
      <c r="P790" s="295"/>
      <c r="Q790" s="296"/>
      <c r="R790" s="227"/>
      <c r="S790" s="228" t="e">
        <f>IF(C790="",NA(),MATCH($B790&amp;$C790,'Smelter Reference List'!$J:$J,0))</f>
        <v>#N/A</v>
      </c>
      <c r="T790" s="229"/>
      <c r="U790" s="229">
        <f t="shared" ca="1" si="26"/>
        <v>0</v>
      </c>
      <c r="V790" s="229"/>
      <c r="W790" s="229"/>
      <c r="Y790" s="223" t="str">
        <f t="shared" si="27"/>
        <v/>
      </c>
    </row>
    <row r="791" spans="1:25" s="223" customFormat="1" ht="20.25">
      <c r="A791" s="291"/>
      <c r="B791" s="292" t="str">
        <f>IF(LEN(A791)=0,"",INDEX('Smelter Reference List'!$A:$A,MATCH($A791,'Smelter Reference List'!$E:$E,0)))</f>
        <v/>
      </c>
      <c r="C791" s="298" t="str">
        <f>IF(LEN(A791)=0,"",INDEX('Smelter Reference List'!$C:$C,MATCH($A791,'Smelter Reference List'!$E:$E,0)))</f>
        <v/>
      </c>
      <c r="D791" s="292" t="str">
        <f ca="1">IF(ISERROR($S791),"",OFFSET('Smelter Reference List'!$C$4,$S791-4,0)&amp;"")</f>
        <v/>
      </c>
      <c r="E791" s="292" t="str">
        <f ca="1">IF(ISERROR($S791),"",OFFSET('Smelter Reference List'!$D$4,$S791-4,0)&amp;"")</f>
        <v/>
      </c>
      <c r="F791" s="292" t="str">
        <f ca="1">IF(ISERROR($S791),"",OFFSET('Smelter Reference List'!$E$4,$S791-4,0))</f>
        <v/>
      </c>
      <c r="G791" s="292" t="str">
        <f ca="1">IF(C791=$U$4,"Enter smelter details", IF(ISERROR($S791),"",OFFSET('Smelter Reference List'!$F$4,$S791-4,0)))</f>
        <v/>
      </c>
      <c r="H791" s="293" t="str">
        <f ca="1">IF(ISERROR($S791),"",OFFSET('Smelter Reference List'!$G$4,$S791-4,0))</f>
        <v/>
      </c>
      <c r="I791" s="294" t="str">
        <f ca="1">IF(ISERROR($S791),"",OFFSET('Smelter Reference List'!$H$4,$S791-4,0))</f>
        <v/>
      </c>
      <c r="J791" s="294" t="str">
        <f ca="1">IF(ISERROR($S791),"",OFFSET('Smelter Reference List'!$I$4,$S791-4,0))</f>
        <v/>
      </c>
      <c r="K791" s="295"/>
      <c r="L791" s="295"/>
      <c r="M791" s="295"/>
      <c r="N791" s="295"/>
      <c r="O791" s="295"/>
      <c r="P791" s="295"/>
      <c r="Q791" s="296"/>
      <c r="R791" s="227"/>
      <c r="S791" s="228" t="e">
        <f>IF(C791="",NA(),MATCH($B791&amp;$C791,'Smelter Reference List'!$J:$J,0))</f>
        <v>#N/A</v>
      </c>
      <c r="T791" s="229"/>
      <c r="U791" s="229">
        <f t="shared" ca="1" si="26"/>
        <v>0</v>
      </c>
      <c r="V791" s="229"/>
      <c r="W791" s="229"/>
      <c r="Y791" s="223" t="str">
        <f t="shared" si="27"/>
        <v/>
      </c>
    </row>
    <row r="792" spans="1:25" s="223" customFormat="1" ht="20.25">
      <c r="A792" s="291"/>
      <c r="B792" s="292" t="str">
        <f>IF(LEN(A792)=0,"",INDEX('Smelter Reference List'!$A:$A,MATCH($A792,'Smelter Reference List'!$E:$E,0)))</f>
        <v/>
      </c>
      <c r="C792" s="298" t="str">
        <f>IF(LEN(A792)=0,"",INDEX('Smelter Reference List'!$C:$C,MATCH($A792,'Smelter Reference List'!$E:$E,0)))</f>
        <v/>
      </c>
      <c r="D792" s="292" t="str">
        <f ca="1">IF(ISERROR($S792),"",OFFSET('Smelter Reference List'!$C$4,$S792-4,0)&amp;"")</f>
        <v/>
      </c>
      <c r="E792" s="292" t="str">
        <f ca="1">IF(ISERROR($S792),"",OFFSET('Smelter Reference List'!$D$4,$S792-4,0)&amp;"")</f>
        <v/>
      </c>
      <c r="F792" s="292" t="str">
        <f ca="1">IF(ISERROR($S792),"",OFFSET('Smelter Reference List'!$E$4,$S792-4,0))</f>
        <v/>
      </c>
      <c r="G792" s="292" t="str">
        <f ca="1">IF(C792=$U$4,"Enter smelter details", IF(ISERROR($S792),"",OFFSET('Smelter Reference List'!$F$4,$S792-4,0)))</f>
        <v/>
      </c>
      <c r="H792" s="293" t="str">
        <f ca="1">IF(ISERROR($S792),"",OFFSET('Smelter Reference List'!$G$4,$S792-4,0))</f>
        <v/>
      </c>
      <c r="I792" s="294" t="str">
        <f ca="1">IF(ISERROR($S792),"",OFFSET('Smelter Reference List'!$H$4,$S792-4,0))</f>
        <v/>
      </c>
      <c r="J792" s="294" t="str">
        <f ca="1">IF(ISERROR($S792),"",OFFSET('Smelter Reference List'!$I$4,$S792-4,0))</f>
        <v/>
      </c>
      <c r="K792" s="295"/>
      <c r="L792" s="295"/>
      <c r="M792" s="295"/>
      <c r="N792" s="295"/>
      <c r="O792" s="295"/>
      <c r="P792" s="295"/>
      <c r="Q792" s="296"/>
      <c r="R792" s="227"/>
      <c r="S792" s="228" t="e">
        <f>IF(C792="",NA(),MATCH($B792&amp;$C792,'Smelter Reference List'!$J:$J,0))</f>
        <v>#N/A</v>
      </c>
      <c r="T792" s="229"/>
      <c r="U792" s="229">
        <f t="shared" ca="1" si="26"/>
        <v>0</v>
      </c>
      <c r="V792" s="229"/>
      <c r="W792" s="229"/>
      <c r="Y792" s="223" t="str">
        <f t="shared" si="27"/>
        <v/>
      </c>
    </row>
    <row r="793" spans="1:25" s="223" customFormat="1" ht="20.25">
      <c r="A793" s="291"/>
      <c r="B793" s="292" t="str">
        <f>IF(LEN(A793)=0,"",INDEX('Smelter Reference List'!$A:$A,MATCH($A793,'Smelter Reference List'!$E:$E,0)))</f>
        <v/>
      </c>
      <c r="C793" s="298" t="str">
        <f>IF(LEN(A793)=0,"",INDEX('Smelter Reference List'!$C:$C,MATCH($A793,'Smelter Reference List'!$E:$E,0)))</f>
        <v/>
      </c>
      <c r="D793" s="292" t="str">
        <f ca="1">IF(ISERROR($S793),"",OFFSET('Smelter Reference List'!$C$4,$S793-4,0)&amp;"")</f>
        <v/>
      </c>
      <c r="E793" s="292" t="str">
        <f ca="1">IF(ISERROR($S793),"",OFFSET('Smelter Reference List'!$D$4,$S793-4,0)&amp;"")</f>
        <v/>
      </c>
      <c r="F793" s="292" t="str">
        <f ca="1">IF(ISERROR($S793),"",OFFSET('Smelter Reference List'!$E$4,$S793-4,0))</f>
        <v/>
      </c>
      <c r="G793" s="292" t="str">
        <f ca="1">IF(C793=$U$4,"Enter smelter details", IF(ISERROR($S793),"",OFFSET('Smelter Reference List'!$F$4,$S793-4,0)))</f>
        <v/>
      </c>
      <c r="H793" s="293" t="str">
        <f ca="1">IF(ISERROR($S793),"",OFFSET('Smelter Reference List'!$G$4,$S793-4,0))</f>
        <v/>
      </c>
      <c r="I793" s="294" t="str">
        <f ca="1">IF(ISERROR($S793),"",OFFSET('Smelter Reference List'!$H$4,$S793-4,0))</f>
        <v/>
      </c>
      <c r="J793" s="294" t="str">
        <f ca="1">IF(ISERROR($S793),"",OFFSET('Smelter Reference List'!$I$4,$S793-4,0))</f>
        <v/>
      </c>
      <c r="K793" s="295"/>
      <c r="L793" s="295"/>
      <c r="M793" s="295"/>
      <c r="N793" s="295"/>
      <c r="O793" s="295"/>
      <c r="P793" s="295"/>
      <c r="Q793" s="296"/>
      <c r="R793" s="227"/>
      <c r="S793" s="228" t="e">
        <f>IF(C793="",NA(),MATCH($B793&amp;$C793,'Smelter Reference List'!$J:$J,0))</f>
        <v>#N/A</v>
      </c>
      <c r="T793" s="229"/>
      <c r="U793" s="229">
        <f t="shared" ca="1" si="26"/>
        <v>0</v>
      </c>
      <c r="V793" s="229"/>
      <c r="W793" s="229"/>
      <c r="Y793" s="223" t="str">
        <f t="shared" si="27"/>
        <v/>
      </c>
    </row>
    <row r="794" spans="1:25" s="223" customFormat="1" ht="20.25">
      <c r="A794" s="291"/>
      <c r="B794" s="292" t="str">
        <f>IF(LEN(A794)=0,"",INDEX('Smelter Reference List'!$A:$A,MATCH($A794,'Smelter Reference List'!$E:$E,0)))</f>
        <v/>
      </c>
      <c r="C794" s="298" t="str">
        <f>IF(LEN(A794)=0,"",INDEX('Smelter Reference List'!$C:$C,MATCH($A794,'Smelter Reference List'!$E:$E,0)))</f>
        <v/>
      </c>
      <c r="D794" s="292" t="str">
        <f ca="1">IF(ISERROR($S794),"",OFFSET('Smelter Reference List'!$C$4,$S794-4,0)&amp;"")</f>
        <v/>
      </c>
      <c r="E794" s="292" t="str">
        <f ca="1">IF(ISERROR($S794),"",OFFSET('Smelter Reference List'!$D$4,$S794-4,0)&amp;"")</f>
        <v/>
      </c>
      <c r="F794" s="292" t="str">
        <f ca="1">IF(ISERROR($S794),"",OFFSET('Smelter Reference List'!$E$4,$S794-4,0))</f>
        <v/>
      </c>
      <c r="G794" s="292" t="str">
        <f ca="1">IF(C794=$U$4,"Enter smelter details", IF(ISERROR($S794),"",OFFSET('Smelter Reference List'!$F$4,$S794-4,0)))</f>
        <v/>
      </c>
      <c r="H794" s="293" t="str">
        <f ca="1">IF(ISERROR($S794),"",OFFSET('Smelter Reference List'!$G$4,$S794-4,0))</f>
        <v/>
      </c>
      <c r="I794" s="294" t="str">
        <f ca="1">IF(ISERROR($S794),"",OFFSET('Smelter Reference List'!$H$4,$S794-4,0))</f>
        <v/>
      </c>
      <c r="J794" s="294" t="str">
        <f ca="1">IF(ISERROR($S794),"",OFFSET('Smelter Reference List'!$I$4,$S794-4,0))</f>
        <v/>
      </c>
      <c r="K794" s="295"/>
      <c r="L794" s="295"/>
      <c r="M794" s="295"/>
      <c r="N794" s="295"/>
      <c r="O794" s="295"/>
      <c r="P794" s="295"/>
      <c r="Q794" s="296"/>
      <c r="R794" s="227"/>
      <c r="S794" s="228" t="e">
        <f>IF(C794="",NA(),MATCH($B794&amp;$C794,'Smelter Reference List'!$J:$J,0))</f>
        <v>#N/A</v>
      </c>
      <c r="T794" s="229"/>
      <c r="U794" s="229">
        <f t="shared" ca="1" si="26"/>
        <v>0</v>
      </c>
      <c r="V794" s="229"/>
      <c r="W794" s="229"/>
      <c r="Y794" s="223" t="str">
        <f t="shared" si="27"/>
        <v/>
      </c>
    </row>
    <row r="795" spans="1:25" s="223" customFormat="1" ht="20.25">
      <c r="A795" s="291"/>
      <c r="B795" s="292" t="str">
        <f>IF(LEN(A795)=0,"",INDEX('Smelter Reference List'!$A:$A,MATCH($A795,'Smelter Reference List'!$E:$E,0)))</f>
        <v/>
      </c>
      <c r="C795" s="298" t="str">
        <f>IF(LEN(A795)=0,"",INDEX('Smelter Reference List'!$C:$C,MATCH($A795,'Smelter Reference List'!$E:$E,0)))</f>
        <v/>
      </c>
      <c r="D795" s="292" t="str">
        <f ca="1">IF(ISERROR($S795),"",OFFSET('Smelter Reference List'!$C$4,$S795-4,0)&amp;"")</f>
        <v/>
      </c>
      <c r="E795" s="292" t="str">
        <f ca="1">IF(ISERROR($S795),"",OFFSET('Smelter Reference List'!$D$4,$S795-4,0)&amp;"")</f>
        <v/>
      </c>
      <c r="F795" s="292" t="str">
        <f ca="1">IF(ISERROR($S795),"",OFFSET('Smelter Reference List'!$E$4,$S795-4,0))</f>
        <v/>
      </c>
      <c r="G795" s="292" t="str">
        <f ca="1">IF(C795=$U$4,"Enter smelter details", IF(ISERROR($S795),"",OFFSET('Smelter Reference List'!$F$4,$S795-4,0)))</f>
        <v/>
      </c>
      <c r="H795" s="293" t="str">
        <f ca="1">IF(ISERROR($S795),"",OFFSET('Smelter Reference List'!$G$4,$S795-4,0))</f>
        <v/>
      </c>
      <c r="I795" s="294" t="str">
        <f ca="1">IF(ISERROR($S795),"",OFFSET('Smelter Reference List'!$H$4,$S795-4,0))</f>
        <v/>
      </c>
      <c r="J795" s="294" t="str">
        <f ca="1">IF(ISERROR($S795),"",OFFSET('Smelter Reference List'!$I$4,$S795-4,0))</f>
        <v/>
      </c>
      <c r="K795" s="295"/>
      <c r="L795" s="295"/>
      <c r="M795" s="295"/>
      <c r="N795" s="295"/>
      <c r="O795" s="295"/>
      <c r="P795" s="295"/>
      <c r="Q795" s="296"/>
      <c r="R795" s="227"/>
      <c r="S795" s="228" t="e">
        <f>IF(C795="",NA(),MATCH($B795&amp;$C795,'Smelter Reference List'!$J:$J,0))</f>
        <v>#N/A</v>
      </c>
      <c r="T795" s="229"/>
      <c r="U795" s="229">
        <f t="shared" ca="1" si="26"/>
        <v>0</v>
      </c>
      <c r="V795" s="229"/>
      <c r="W795" s="229"/>
      <c r="Y795" s="223" t="str">
        <f t="shared" si="27"/>
        <v/>
      </c>
    </row>
    <row r="796" spans="1:25" s="223" customFormat="1" ht="20.25">
      <c r="A796" s="291"/>
      <c r="B796" s="292" t="str">
        <f>IF(LEN(A796)=0,"",INDEX('Smelter Reference List'!$A:$A,MATCH($A796,'Smelter Reference List'!$E:$E,0)))</f>
        <v/>
      </c>
      <c r="C796" s="298" t="str">
        <f>IF(LEN(A796)=0,"",INDEX('Smelter Reference List'!$C:$C,MATCH($A796,'Smelter Reference List'!$E:$E,0)))</f>
        <v/>
      </c>
      <c r="D796" s="292" t="str">
        <f ca="1">IF(ISERROR($S796),"",OFFSET('Smelter Reference List'!$C$4,$S796-4,0)&amp;"")</f>
        <v/>
      </c>
      <c r="E796" s="292" t="str">
        <f ca="1">IF(ISERROR($S796),"",OFFSET('Smelter Reference List'!$D$4,$S796-4,0)&amp;"")</f>
        <v/>
      </c>
      <c r="F796" s="292" t="str">
        <f ca="1">IF(ISERROR($S796),"",OFFSET('Smelter Reference List'!$E$4,$S796-4,0))</f>
        <v/>
      </c>
      <c r="G796" s="292" t="str">
        <f ca="1">IF(C796=$U$4,"Enter smelter details", IF(ISERROR($S796),"",OFFSET('Smelter Reference List'!$F$4,$S796-4,0)))</f>
        <v/>
      </c>
      <c r="H796" s="293" t="str">
        <f ca="1">IF(ISERROR($S796),"",OFFSET('Smelter Reference List'!$G$4,$S796-4,0))</f>
        <v/>
      </c>
      <c r="I796" s="294" t="str">
        <f ca="1">IF(ISERROR($S796),"",OFFSET('Smelter Reference List'!$H$4,$S796-4,0))</f>
        <v/>
      </c>
      <c r="J796" s="294" t="str">
        <f ca="1">IF(ISERROR($S796),"",OFFSET('Smelter Reference List'!$I$4,$S796-4,0))</f>
        <v/>
      </c>
      <c r="K796" s="295"/>
      <c r="L796" s="295"/>
      <c r="M796" s="295"/>
      <c r="N796" s="295"/>
      <c r="O796" s="295"/>
      <c r="P796" s="295"/>
      <c r="Q796" s="296"/>
      <c r="R796" s="227"/>
      <c r="S796" s="228" t="e">
        <f>IF(C796="",NA(),MATCH($B796&amp;$C796,'Smelter Reference List'!$J:$J,0))</f>
        <v>#N/A</v>
      </c>
      <c r="T796" s="229"/>
      <c r="U796" s="229">
        <f t="shared" ca="1" si="26"/>
        <v>0</v>
      </c>
      <c r="V796" s="229"/>
      <c r="W796" s="229"/>
      <c r="Y796" s="223" t="str">
        <f t="shared" si="27"/>
        <v/>
      </c>
    </row>
    <row r="797" spans="1:25" s="223" customFormat="1" ht="20.25">
      <c r="A797" s="291"/>
      <c r="B797" s="292" t="str">
        <f>IF(LEN(A797)=0,"",INDEX('Smelter Reference List'!$A:$A,MATCH($A797,'Smelter Reference List'!$E:$E,0)))</f>
        <v/>
      </c>
      <c r="C797" s="298" t="str">
        <f>IF(LEN(A797)=0,"",INDEX('Smelter Reference List'!$C:$C,MATCH($A797,'Smelter Reference List'!$E:$E,0)))</f>
        <v/>
      </c>
      <c r="D797" s="292" t="str">
        <f ca="1">IF(ISERROR($S797),"",OFFSET('Smelter Reference List'!$C$4,$S797-4,0)&amp;"")</f>
        <v/>
      </c>
      <c r="E797" s="292" t="str">
        <f ca="1">IF(ISERROR($S797),"",OFFSET('Smelter Reference List'!$D$4,$S797-4,0)&amp;"")</f>
        <v/>
      </c>
      <c r="F797" s="292" t="str">
        <f ca="1">IF(ISERROR($S797),"",OFFSET('Smelter Reference List'!$E$4,$S797-4,0))</f>
        <v/>
      </c>
      <c r="G797" s="292" t="str">
        <f ca="1">IF(C797=$U$4,"Enter smelter details", IF(ISERROR($S797),"",OFFSET('Smelter Reference List'!$F$4,$S797-4,0)))</f>
        <v/>
      </c>
      <c r="H797" s="293" t="str">
        <f ca="1">IF(ISERROR($S797),"",OFFSET('Smelter Reference List'!$G$4,$S797-4,0))</f>
        <v/>
      </c>
      <c r="I797" s="294" t="str">
        <f ca="1">IF(ISERROR($S797),"",OFFSET('Smelter Reference List'!$H$4,$S797-4,0))</f>
        <v/>
      </c>
      <c r="J797" s="294" t="str">
        <f ca="1">IF(ISERROR($S797),"",OFFSET('Smelter Reference List'!$I$4,$S797-4,0))</f>
        <v/>
      </c>
      <c r="K797" s="295"/>
      <c r="L797" s="295"/>
      <c r="M797" s="295"/>
      <c r="N797" s="295"/>
      <c r="O797" s="295"/>
      <c r="P797" s="295"/>
      <c r="Q797" s="296"/>
      <c r="R797" s="227"/>
      <c r="S797" s="228" t="e">
        <f>IF(C797="",NA(),MATCH($B797&amp;$C797,'Smelter Reference List'!$J:$J,0))</f>
        <v>#N/A</v>
      </c>
      <c r="T797" s="229"/>
      <c r="U797" s="229">
        <f t="shared" ca="1" si="26"/>
        <v>0</v>
      </c>
      <c r="V797" s="229"/>
      <c r="W797" s="229"/>
      <c r="Y797" s="223" t="str">
        <f t="shared" si="27"/>
        <v/>
      </c>
    </row>
    <row r="798" spans="1:25" s="223" customFormat="1" ht="20.25">
      <c r="A798" s="291"/>
      <c r="B798" s="292" t="str">
        <f>IF(LEN(A798)=0,"",INDEX('Smelter Reference List'!$A:$A,MATCH($A798,'Smelter Reference List'!$E:$E,0)))</f>
        <v/>
      </c>
      <c r="C798" s="298" t="str">
        <f>IF(LEN(A798)=0,"",INDEX('Smelter Reference List'!$C:$C,MATCH($A798,'Smelter Reference List'!$E:$E,0)))</f>
        <v/>
      </c>
      <c r="D798" s="292" t="str">
        <f ca="1">IF(ISERROR($S798),"",OFFSET('Smelter Reference List'!$C$4,$S798-4,0)&amp;"")</f>
        <v/>
      </c>
      <c r="E798" s="292" t="str">
        <f ca="1">IF(ISERROR($S798),"",OFFSET('Smelter Reference List'!$D$4,$S798-4,0)&amp;"")</f>
        <v/>
      </c>
      <c r="F798" s="292" t="str">
        <f ca="1">IF(ISERROR($S798),"",OFFSET('Smelter Reference List'!$E$4,$S798-4,0))</f>
        <v/>
      </c>
      <c r="G798" s="292" t="str">
        <f ca="1">IF(C798=$U$4,"Enter smelter details", IF(ISERROR($S798),"",OFFSET('Smelter Reference List'!$F$4,$S798-4,0)))</f>
        <v/>
      </c>
      <c r="H798" s="293" t="str">
        <f ca="1">IF(ISERROR($S798),"",OFFSET('Smelter Reference List'!$G$4,$S798-4,0))</f>
        <v/>
      </c>
      <c r="I798" s="294" t="str">
        <f ca="1">IF(ISERROR($S798),"",OFFSET('Smelter Reference List'!$H$4,$S798-4,0))</f>
        <v/>
      </c>
      <c r="J798" s="294" t="str">
        <f ca="1">IF(ISERROR($S798),"",OFFSET('Smelter Reference List'!$I$4,$S798-4,0))</f>
        <v/>
      </c>
      <c r="K798" s="295"/>
      <c r="L798" s="295"/>
      <c r="M798" s="295"/>
      <c r="N798" s="295"/>
      <c r="O798" s="295"/>
      <c r="P798" s="295"/>
      <c r="Q798" s="296"/>
      <c r="R798" s="227"/>
      <c r="S798" s="228" t="e">
        <f>IF(C798="",NA(),MATCH($B798&amp;$C798,'Smelter Reference List'!$J:$J,0))</f>
        <v>#N/A</v>
      </c>
      <c r="T798" s="229"/>
      <c r="U798" s="229">
        <f t="shared" ca="1" si="26"/>
        <v>0</v>
      </c>
      <c r="V798" s="229"/>
      <c r="W798" s="229"/>
      <c r="Y798" s="223" t="str">
        <f t="shared" si="27"/>
        <v/>
      </c>
    </row>
    <row r="799" spans="1:25" s="223" customFormat="1" ht="20.25">
      <c r="A799" s="291"/>
      <c r="B799" s="292" t="str">
        <f>IF(LEN(A799)=0,"",INDEX('Smelter Reference List'!$A:$A,MATCH($A799,'Smelter Reference List'!$E:$E,0)))</f>
        <v/>
      </c>
      <c r="C799" s="298" t="str">
        <f>IF(LEN(A799)=0,"",INDEX('Smelter Reference List'!$C:$C,MATCH($A799,'Smelter Reference List'!$E:$E,0)))</f>
        <v/>
      </c>
      <c r="D799" s="292" t="str">
        <f ca="1">IF(ISERROR($S799),"",OFFSET('Smelter Reference List'!$C$4,$S799-4,0)&amp;"")</f>
        <v/>
      </c>
      <c r="E799" s="292" t="str">
        <f ca="1">IF(ISERROR($S799),"",OFFSET('Smelter Reference List'!$D$4,$S799-4,0)&amp;"")</f>
        <v/>
      </c>
      <c r="F799" s="292" t="str">
        <f ca="1">IF(ISERROR($S799),"",OFFSET('Smelter Reference List'!$E$4,$S799-4,0))</f>
        <v/>
      </c>
      <c r="G799" s="292" t="str">
        <f ca="1">IF(C799=$U$4,"Enter smelter details", IF(ISERROR($S799),"",OFFSET('Smelter Reference List'!$F$4,$S799-4,0)))</f>
        <v/>
      </c>
      <c r="H799" s="293" t="str">
        <f ca="1">IF(ISERROR($S799),"",OFFSET('Smelter Reference List'!$G$4,$S799-4,0))</f>
        <v/>
      </c>
      <c r="I799" s="294" t="str">
        <f ca="1">IF(ISERROR($S799),"",OFFSET('Smelter Reference List'!$H$4,$S799-4,0))</f>
        <v/>
      </c>
      <c r="J799" s="294" t="str">
        <f ca="1">IF(ISERROR($S799),"",OFFSET('Smelter Reference List'!$I$4,$S799-4,0))</f>
        <v/>
      </c>
      <c r="K799" s="295"/>
      <c r="L799" s="295"/>
      <c r="M799" s="295"/>
      <c r="N799" s="295"/>
      <c r="O799" s="295"/>
      <c r="P799" s="295"/>
      <c r="Q799" s="296"/>
      <c r="R799" s="227"/>
      <c r="S799" s="228" t="e">
        <f>IF(C799="",NA(),MATCH($B799&amp;$C799,'Smelter Reference List'!$J:$J,0))</f>
        <v>#N/A</v>
      </c>
      <c r="T799" s="229"/>
      <c r="U799" s="229">
        <f t="shared" ca="1" si="26"/>
        <v>0</v>
      </c>
      <c r="V799" s="229"/>
      <c r="W799" s="229"/>
      <c r="Y799" s="223" t="str">
        <f t="shared" si="27"/>
        <v/>
      </c>
    </row>
    <row r="800" spans="1:25" s="223" customFormat="1" ht="20.25">
      <c r="A800" s="291"/>
      <c r="B800" s="292" t="str">
        <f>IF(LEN(A800)=0,"",INDEX('Smelter Reference List'!$A:$A,MATCH($A800,'Smelter Reference List'!$E:$E,0)))</f>
        <v/>
      </c>
      <c r="C800" s="298" t="str">
        <f>IF(LEN(A800)=0,"",INDEX('Smelter Reference List'!$C:$C,MATCH($A800,'Smelter Reference List'!$E:$E,0)))</f>
        <v/>
      </c>
      <c r="D800" s="292" t="str">
        <f ca="1">IF(ISERROR($S800),"",OFFSET('Smelter Reference List'!$C$4,$S800-4,0)&amp;"")</f>
        <v/>
      </c>
      <c r="E800" s="292" t="str">
        <f ca="1">IF(ISERROR($S800),"",OFFSET('Smelter Reference List'!$D$4,$S800-4,0)&amp;"")</f>
        <v/>
      </c>
      <c r="F800" s="292" t="str">
        <f ca="1">IF(ISERROR($S800),"",OFFSET('Smelter Reference List'!$E$4,$S800-4,0))</f>
        <v/>
      </c>
      <c r="G800" s="292" t="str">
        <f ca="1">IF(C800=$U$4,"Enter smelter details", IF(ISERROR($S800),"",OFFSET('Smelter Reference List'!$F$4,$S800-4,0)))</f>
        <v/>
      </c>
      <c r="H800" s="293" t="str">
        <f ca="1">IF(ISERROR($S800),"",OFFSET('Smelter Reference List'!$G$4,$S800-4,0))</f>
        <v/>
      </c>
      <c r="I800" s="294" t="str">
        <f ca="1">IF(ISERROR($S800),"",OFFSET('Smelter Reference List'!$H$4,$S800-4,0))</f>
        <v/>
      </c>
      <c r="J800" s="294" t="str">
        <f ca="1">IF(ISERROR($S800),"",OFFSET('Smelter Reference List'!$I$4,$S800-4,0))</f>
        <v/>
      </c>
      <c r="K800" s="295"/>
      <c r="L800" s="295"/>
      <c r="M800" s="295"/>
      <c r="N800" s="295"/>
      <c r="O800" s="295"/>
      <c r="P800" s="295"/>
      <c r="Q800" s="296"/>
      <c r="R800" s="227"/>
      <c r="S800" s="228" t="e">
        <f>IF(C800="",NA(),MATCH($B800&amp;$C800,'Smelter Reference List'!$J:$J,0))</f>
        <v>#N/A</v>
      </c>
      <c r="T800" s="229"/>
      <c r="U800" s="229">
        <f t="shared" ca="1" si="26"/>
        <v>0</v>
      </c>
      <c r="V800" s="229"/>
      <c r="W800" s="229"/>
      <c r="Y800" s="223" t="str">
        <f t="shared" si="27"/>
        <v/>
      </c>
    </row>
    <row r="801" spans="1:25" s="223" customFormat="1" ht="20.25">
      <c r="A801" s="291"/>
      <c r="B801" s="292" t="str">
        <f>IF(LEN(A801)=0,"",INDEX('Smelter Reference List'!$A:$A,MATCH($A801,'Smelter Reference List'!$E:$E,0)))</f>
        <v/>
      </c>
      <c r="C801" s="298" t="str">
        <f>IF(LEN(A801)=0,"",INDEX('Smelter Reference List'!$C:$C,MATCH($A801,'Smelter Reference List'!$E:$E,0)))</f>
        <v/>
      </c>
      <c r="D801" s="292" t="str">
        <f ca="1">IF(ISERROR($S801),"",OFFSET('Smelter Reference List'!$C$4,$S801-4,0)&amp;"")</f>
        <v/>
      </c>
      <c r="E801" s="292" t="str">
        <f ca="1">IF(ISERROR($S801),"",OFFSET('Smelter Reference List'!$D$4,$S801-4,0)&amp;"")</f>
        <v/>
      </c>
      <c r="F801" s="292" t="str">
        <f ca="1">IF(ISERROR($S801),"",OFFSET('Smelter Reference List'!$E$4,$S801-4,0))</f>
        <v/>
      </c>
      <c r="G801" s="292" t="str">
        <f ca="1">IF(C801=$U$4,"Enter smelter details", IF(ISERROR($S801),"",OFFSET('Smelter Reference List'!$F$4,$S801-4,0)))</f>
        <v/>
      </c>
      <c r="H801" s="293" t="str">
        <f ca="1">IF(ISERROR($S801),"",OFFSET('Smelter Reference List'!$G$4,$S801-4,0))</f>
        <v/>
      </c>
      <c r="I801" s="294" t="str">
        <f ca="1">IF(ISERROR($S801),"",OFFSET('Smelter Reference List'!$H$4,$S801-4,0))</f>
        <v/>
      </c>
      <c r="J801" s="294" t="str">
        <f ca="1">IF(ISERROR($S801),"",OFFSET('Smelter Reference List'!$I$4,$S801-4,0))</f>
        <v/>
      </c>
      <c r="K801" s="295"/>
      <c r="L801" s="295"/>
      <c r="M801" s="295"/>
      <c r="N801" s="295"/>
      <c r="O801" s="295"/>
      <c r="P801" s="295"/>
      <c r="Q801" s="296"/>
      <c r="R801" s="227"/>
      <c r="S801" s="228" t="e">
        <f>IF(C801="",NA(),MATCH($B801&amp;$C801,'Smelter Reference List'!$J:$J,0))</f>
        <v>#N/A</v>
      </c>
      <c r="T801" s="229"/>
      <c r="U801" s="229">
        <f t="shared" ca="1" si="26"/>
        <v>0</v>
      </c>
      <c r="V801" s="229"/>
      <c r="W801" s="229"/>
      <c r="Y801" s="223" t="str">
        <f t="shared" si="27"/>
        <v/>
      </c>
    </row>
    <row r="802" spans="1:25" s="223" customFormat="1" ht="20.25">
      <c r="A802" s="291"/>
      <c r="B802" s="292" t="str">
        <f>IF(LEN(A802)=0,"",INDEX('Smelter Reference List'!$A:$A,MATCH($A802,'Smelter Reference List'!$E:$E,0)))</f>
        <v/>
      </c>
      <c r="C802" s="298" t="str">
        <f>IF(LEN(A802)=0,"",INDEX('Smelter Reference List'!$C:$C,MATCH($A802,'Smelter Reference List'!$E:$E,0)))</f>
        <v/>
      </c>
      <c r="D802" s="292" t="str">
        <f ca="1">IF(ISERROR($S802),"",OFFSET('Smelter Reference List'!$C$4,$S802-4,0)&amp;"")</f>
        <v/>
      </c>
      <c r="E802" s="292" t="str">
        <f ca="1">IF(ISERROR($S802),"",OFFSET('Smelter Reference List'!$D$4,$S802-4,0)&amp;"")</f>
        <v/>
      </c>
      <c r="F802" s="292" t="str">
        <f ca="1">IF(ISERROR($S802),"",OFFSET('Smelter Reference List'!$E$4,$S802-4,0))</f>
        <v/>
      </c>
      <c r="G802" s="292" t="str">
        <f ca="1">IF(C802=$U$4,"Enter smelter details", IF(ISERROR($S802),"",OFFSET('Smelter Reference List'!$F$4,$S802-4,0)))</f>
        <v/>
      </c>
      <c r="H802" s="293" t="str">
        <f ca="1">IF(ISERROR($S802),"",OFFSET('Smelter Reference List'!$G$4,$S802-4,0))</f>
        <v/>
      </c>
      <c r="I802" s="294" t="str">
        <f ca="1">IF(ISERROR($S802),"",OFFSET('Smelter Reference List'!$H$4,$S802-4,0))</f>
        <v/>
      </c>
      <c r="J802" s="294" t="str">
        <f ca="1">IF(ISERROR($S802),"",OFFSET('Smelter Reference List'!$I$4,$S802-4,0))</f>
        <v/>
      </c>
      <c r="K802" s="295"/>
      <c r="L802" s="295"/>
      <c r="M802" s="295"/>
      <c r="N802" s="295"/>
      <c r="O802" s="295"/>
      <c r="P802" s="295"/>
      <c r="Q802" s="296"/>
      <c r="R802" s="227"/>
      <c r="S802" s="228" t="e">
        <f>IF(C802="",NA(),MATCH($B802&amp;$C802,'Smelter Reference List'!$J:$J,0))</f>
        <v>#N/A</v>
      </c>
      <c r="T802" s="229"/>
      <c r="U802" s="229">
        <f t="shared" ca="1" si="26"/>
        <v>0</v>
      </c>
      <c r="V802" s="229"/>
      <c r="W802" s="229"/>
      <c r="Y802" s="223" t="str">
        <f t="shared" si="27"/>
        <v/>
      </c>
    </row>
    <row r="803" spans="1:25" s="223" customFormat="1" ht="20.25">
      <c r="A803" s="291"/>
      <c r="B803" s="292" t="str">
        <f>IF(LEN(A803)=0,"",INDEX('Smelter Reference List'!$A:$A,MATCH($A803,'Smelter Reference List'!$E:$E,0)))</f>
        <v/>
      </c>
      <c r="C803" s="298" t="str">
        <f>IF(LEN(A803)=0,"",INDEX('Smelter Reference List'!$C:$C,MATCH($A803,'Smelter Reference List'!$E:$E,0)))</f>
        <v/>
      </c>
      <c r="D803" s="292" t="str">
        <f ca="1">IF(ISERROR($S803),"",OFFSET('Smelter Reference List'!$C$4,$S803-4,0)&amp;"")</f>
        <v/>
      </c>
      <c r="E803" s="292" t="str">
        <f ca="1">IF(ISERROR($S803),"",OFFSET('Smelter Reference List'!$D$4,$S803-4,0)&amp;"")</f>
        <v/>
      </c>
      <c r="F803" s="292" t="str">
        <f ca="1">IF(ISERROR($S803),"",OFFSET('Smelter Reference List'!$E$4,$S803-4,0))</f>
        <v/>
      </c>
      <c r="G803" s="292" t="str">
        <f ca="1">IF(C803=$U$4,"Enter smelter details", IF(ISERROR($S803),"",OFFSET('Smelter Reference List'!$F$4,$S803-4,0)))</f>
        <v/>
      </c>
      <c r="H803" s="293" t="str">
        <f ca="1">IF(ISERROR($S803),"",OFFSET('Smelter Reference List'!$G$4,$S803-4,0))</f>
        <v/>
      </c>
      <c r="I803" s="294" t="str">
        <f ca="1">IF(ISERROR($S803),"",OFFSET('Smelter Reference List'!$H$4,$S803-4,0))</f>
        <v/>
      </c>
      <c r="J803" s="294" t="str">
        <f ca="1">IF(ISERROR($S803),"",OFFSET('Smelter Reference List'!$I$4,$S803-4,0))</f>
        <v/>
      </c>
      <c r="K803" s="295"/>
      <c r="L803" s="295"/>
      <c r="M803" s="295"/>
      <c r="N803" s="295"/>
      <c r="O803" s="295"/>
      <c r="P803" s="295"/>
      <c r="Q803" s="296"/>
      <c r="R803" s="227"/>
      <c r="S803" s="228" t="e">
        <f>IF(C803="",NA(),MATCH($B803&amp;$C803,'Smelter Reference List'!$J:$J,0))</f>
        <v>#N/A</v>
      </c>
      <c r="T803" s="229"/>
      <c r="U803" s="229">
        <f t="shared" ca="1" si="26"/>
        <v>0</v>
      </c>
      <c r="V803" s="229"/>
      <c r="W803" s="229"/>
      <c r="Y803" s="223" t="str">
        <f t="shared" si="27"/>
        <v/>
      </c>
    </row>
    <row r="804" spans="1:25" s="223" customFormat="1" ht="20.25">
      <c r="A804" s="291"/>
      <c r="B804" s="292" t="str">
        <f>IF(LEN(A804)=0,"",INDEX('Smelter Reference List'!$A:$A,MATCH($A804,'Smelter Reference List'!$E:$E,0)))</f>
        <v/>
      </c>
      <c r="C804" s="298" t="str">
        <f>IF(LEN(A804)=0,"",INDEX('Smelter Reference List'!$C:$C,MATCH($A804,'Smelter Reference List'!$E:$E,0)))</f>
        <v/>
      </c>
      <c r="D804" s="292" t="str">
        <f ca="1">IF(ISERROR($S804),"",OFFSET('Smelter Reference List'!$C$4,$S804-4,0)&amp;"")</f>
        <v/>
      </c>
      <c r="E804" s="292" t="str">
        <f ca="1">IF(ISERROR($S804),"",OFFSET('Smelter Reference List'!$D$4,$S804-4,0)&amp;"")</f>
        <v/>
      </c>
      <c r="F804" s="292" t="str">
        <f ca="1">IF(ISERROR($S804),"",OFFSET('Smelter Reference List'!$E$4,$S804-4,0))</f>
        <v/>
      </c>
      <c r="G804" s="292" t="str">
        <f ca="1">IF(C804=$U$4,"Enter smelter details", IF(ISERROR($S804),"",OFFSET('Smelter Reference List'!$F$4,$S804-4,0)))</f>
        <v/>
      </c>
      <c r="H804" s="293" t="str">
        <f ca="1">IF(ISERROR($S804),"",OFFSET('Smelter Reference List'!$G$4,$S804-4,0))</f>
        <v/>
      </c>
      <c r="I804" s="294" t="str">
        <f ca="1">IF(ISERROR($S804),"",OFFSET('Smelter Reference List'!$H$4,$S804-4,0))</f>
        <v/>
      </c>
      <c r="J804" s="294" t="str">
        <f ca="1">IF(ISERROR($S804),"",OFFSET('Smelter Reference List'!$I$4,$S804-4,0))</f>
        <v/>
      </c>
      <c r="K804" s="295"/>
      <c r="L804" s="295"/>
      <c r="M804" s="295"/>
      <c r="N804" s="295"/>
      <c r="O804" s="295"/>
      <c r="P804" s="295"/>
      <c r="Q804" s="296"/>
      <c r="R804" s="227"/>
      <c r="S804" s="228" t="e">
        <f>IF(C804="",NA(),MATCH($B804&amp;$C804,'Smelter Reference List'!$J:$J,0))</f>
        <v>#N/A</v>
      </c>
      <c r="T804" s="229"/>
      <c r="U804" s="229">
        <f t="shared" ca="1" si="26"/>
        <v>0</v>
      </c>
      <c r="V804" s="229"/>
      <c r="W804" s="229"/>
      <c r="Y804" s="223" t="str">
        <f t="shared" si="27"/>
        <v/>
      </c>
    </row>
    <row r="805" spans="1:25" s="223" customFormat="1" ht="20.25">
      <c r="A805" s="291"/>
      <c r="B805" s="292" t="str">
        <f>IF(LEN(A805)=0,"",INDEX('Smelter Reference List'!$A:$A,MATCH($A805,'Smelter Reference List'!$E:$E,0)))</f>
        <v/>
      </c>
      <c r="C805" s="298" t="str">
        <f>IF(LEN(A805)=0,"",INDEX('Smelter Reference List'!$C:$C,MATCH($A805,'Smelter Reference List'!$E:$E,0)))</f>
        <v/>
      </c>
      <c r="D805" s="292" t="str">
        <f ca="1">IF(ISERROR($S805),"",OFFSET('Smelter Reference List'!$C$4,$S805-4,0)&amp;"")</f>
        <v/>
      </c>
      <c r="E805" s="292" t="str">
        <f ca="1">IF(ISERROR($S805),"",OFFSET('Smelter Reference List'!$D$4,$S805-4,0)&amp;"")</f>
        <v/>
      </c>
      <c r="F805" s="292" t="str">
        <f ca="1">IF(ISERROR($S805),"",OFFSET('Smelter Reference List'!$E$4,$S805-4,0))</f>
        <v/>
      </c>
      <c r="G805" s="292" t="str">
        <f ca="1">IF(C805=$U$4,"Enter smelter details", IF(ISERROR($S805),"",OFFSET('Smelter Reference List'!$F$4,$S805-4,0)))</f>
        <v/>
      </c>
      <c r="H805" s="293" t="str">
        <f ca="1">IF(ISERROR($S805),"",OFFSET('Smelter Reference List'!$G$4,$S805-4,0))</f>
        <v/>
      </c>
      <c r="I805" s="294" t="str">
        <f ca="1">IF(ISERROR($S805),"",OFFSET('Smelter Reference List'!$H$4,$S805-4,0))</f>
        <v/>
      </c>
      <c r="J805" s="294" t="str">
        <f ca="1">IF(ISERROR($S805),"",OFFSET('Smelter Reference List'!$I$4,$S805-4,0))</f>
        <v/>
      </c>
      <c r="K805" s="295"/>
      <c r="L805" s="295"/>
      <c r="M805" s="295"/>
      <c r="N805" s="295"/>
      <c r="O805" s="295"/>
      <c r="P805" s="295"/>
      <c r="Q805" s="296"/>
      <c r="R805" s="227"/>
      <c r="S805" s="228" t="e">
        <f>IF(C805="",NA(),MATCH($B805&amp;$C805,'Smelter Reference List'!$J:$J,0))</f>
        <v>#N/A</v>
      </c>
      <c r="T805" s="229"/>
      <c r="U805" s="229">
        <f t="shared" ca="1" si="26"/>
        <v>0</v>
      </c>
      <c r="V805" s="229"/>
      <c r="W805" s="229"/>
      <c r="Y805" s="223" t="str">
        <f t="shared" si="27"/>
        <v/>
      </c>
    </row>
    <row r="806" spans="1:25" s="223" customFormat="1" ht="20.25">
      <c r="A806" s="291"/>
      <c r="B806" s="292" t="str">
        <f>IF(LEN(A806)=0,"",INDEX('Smelter Reference List'!$A:$A,MATCH($A806,'Smelter Reference List'!$E:$E,0)))</f>
        <v/>
      </c>
      <c r="C806" s="298" t="str">
        <f>IF(LEN(A806)=0,"",INDEX('Smelter Reference List'!$C:$C,MATCH($A806,'Smelter Reference List'!$E:$E,0)))</f>
        <v/>
      </c>
      <c r="D806" s="292" t="str">
        <f ca="1">IF(ISERROR($S806),"",OFFSET('Smelter Reference List'!$C$4,$S806-4,0)&amp;"")</f>
        <v/>
      </c>
      <c r="E806" s="292" t="str">
        <f ca="1">IF(ISERROR($S806),"",OFFSET('Smelter Reference List'!$D$4,$S806-4,0)&amp;"")</f>
        <v/>
      </c>
      <c r="F806" s="292" t="str">
        <f ca="1">IF(ISERROR($S806),"",OFFSET('Smelter Reference List'!$E$4,$S806-4,0))</f>
        <v/>
      </c>
      <c r="G806" s="292" t="str">
        <f ca="1">IF(C806=$U$4,"Enter smelter details", IF(ISERROR($S806),"",OFFSET('Smelter Reference List'!$F$4,$S806-4,0)))</f>
        <v/>
      </c>
      <c r="H806" s="293" t="str">
        <f ca="1">IF(ISERROR($S806),"",OFFSET('Smelter Reference List'!$G$4,$S806-4,0))</f>
        <v/>
      </c>
      <c r="I806" s="294" t="str">
        <f ca="1">IF(ISERROR($S806),"",OFFSET('Smelter Reference List'!$H$4,$S806-4,0))</f>
        <v/>
      </c>
      <c r="J806" s="294" t="str">
        <f ca="1">IF(ISERROR($S806),"",OFFSET('Smelter Reference List'!$I$4,$S806-4,0))</f>
        <v/>
      </c>
      <c r="K806" s="295"/>
      <c r="L806" s="295"/>
      <c r="M806" s="295"/>
      <c r="N806" s="295"/>
      <c r="O806" s="295"/>
      <c r="P806" s="295"/>
      <c r="Q806" s="296"/>
      <c r="R806" s="227"/>
      <c r="S806" s="228" t="e">
        <f>IF(C806="",NA(),MATCH($B806&amp;$C806,'Smelter Reference List'!$J:$J,0))</f>
        <v>#N/A</v>
      </c>
      <c r="T806" s="229"/>
      <c r="U806" s="229">
        <f t="shared" ca="1" si="26"/>
        <v>0</v>
      </c>
      <c r="V806" s="229"/>
      <c r="W806" s="229"/>
      <c r="Y806" s="223" t="str">
        <f t="shared" si="27"/>
        <v/>
      </c>
    </row>
    <row r="807" spans="1:25" s="223" customFormat="1" ht="20.25">
      <c r="A807" s="291"/>
      <c r="B807" s="292" t="str">
        <f>IF(LEN(A807)=0,"",INDEX('Smelter Reference List'!$A:$A,MATCH($A807,'Smelter Reference List'!$E:$E,0)))</f>
        <v/>
      </c>
      <c r="C807" s="298" t="str">
        <f>IF(LEN(A807)=0,"",INDEX('Smelter Reference List'!$C:$C,MATCH($A807,'Smelter Reference List'!$E:$E,0)))</f>
        <v/>
      </c>
      <c r="D807" s="292" t="str">
        <f ca="1">IF(ISERROR($S807),"",OFFSET('Smelter Reference List'!$C$4,$S807-4,0)&amp;"")</f>
        <v/>
      </c>
      <c r="E807" s="292" t="str">
        <f ca="1">IF(ISERROR($S807),"",OFFSET('Smelter Reference List'!$D$4,$S807-4,0)&amp;"")</f>
        <v/>
      </c>
      <c r="F807" s="292" t="str">
        <f ca="1">IF(ISERROR($S807),"",OFFSET('Smelter Reference List'!$E$4,$S807-4,0))</f>
        <v/>
      </c>
      <c r="G807" s="292" t="str">
        <f ca="1">IF(C807=$U$4,"Enter smelter details", IF(ISERROR($S807),"",OFFSET('Smelter Reference List'!$F$4,$S807-4,0)))</f>
        <v/>
      </c>
      <c r="H807" s="293" t="str">
        <f ca="1">IF(ISERROR($S807),"",OFFSET('Smelter Reference List'!$G$4,$S807-4,0))</f>
        <v/>
      </c>
      <c r="I807" s="294" t="str">
        <f ca="1">IF(ISERROR($S807),"",OFFSET('Smelter Reference List'!$H$4,$S807-4,0))</f>
        <v/>
      </c>
      <c r="J807" s="294" t="str">
        <f ca="1">IF(ISERROR($S807),"",OFFSET('Smelter Reference List'!$I$4,$S807-4,0))</f>
        <v/>
      </c>
      <c r="K807" s="295"/>
      <c r="L807" s="295"/>
      <c r="M807" s="295"/>
      <c r="N807" s="295"/>
      <c r="O807" s="295"/>
      <c r="P807" s="295"/>
      <c r="Q807" s="296"/>
      <c r="R807" s="227"/>
      <c r="S807" s="228" t="e">
        <f>IF(C807="",NA(),MATCH($B807&amp;$C807,'Smelter Reference List'!$J:$J,0))</f>
        <v>#N/A</v>
      </c>
      <c r="T807" s="229"/>
      <c r="U807" s="229">
        <f t="shared" ca="1" si="26"/>
        <v>0</v>
      </c>
      <c r="V807" s="229"/>
      <c r="W807" s="229"/>
      <c r="Y807" s="223" t="str">
        <f t="shared" si="27"/>
        <v/>
      </c>
    </row>
    <row r="808" spans="1:25" s="223" customFormat="1" ht="20.25">
      <c r="A808" s="291"/>
      <c r="B808" s="292" t="str">
        <f>IF(LEN(A808)=0,"",INDEX('Smelter Reference List'!$A:$A,MATCH($A808,'Smelter Reference List'!$E:$E,0)))</f>
        <v/>
      </c>
      <c r="C808" s="298" t="str">
        <f>IF(LEN(A808)=0,"",INDEX('Smelter Reference List'!$C:$C,MATCH($A808,'Smelter Reference List'!$E:$E,0)))</f>
        <v/>
      </c>
      <c r="D808" s="292" t="str">
        <f ca="1">IF(ISERROR($S808),"",OFFSET('Smelter Reference List'!$C$4,$S808-4,0)&amp;"")</f>
        <v/>
      </c>
      <c r="E808" s="292" t="str">
        <f ca="1">IF(ISERROR($S808),"",OFFSET('Smelter Reference List'!$D$4,$S808-4,0)&amp;"")</f>
        <v/>
      </c>
      <c r="F808" s="292" t="str">
        <f ca="1">IF(ISERROR($S808),"",OFFSET('Smelter Reference List'!$E$4,$S808-4,0))</f>
        <v/>
      </c>
      <c r="G808" s="292" t="str">
        <f ca="1">IF(C808=$U$4,"Enter smelter details", IF(ISERROR($S808),"",OFFSET('Smelter Reference List'!$F$4,$S808-4,0)))</f>
        <v/>
      </c>
      <c r="H808" s="293" t="str">
        <f ca="1">IF(ISERROR($S808),"",OFFSET('Smelter Reference List'!$G$4,$S808-4,0))</f>
        <v/>
      </c>
      <c r="I808" s="294" t="str">
        <f ca="1">IF(ISERROR($S808),"",OFFSET('Smelter Reference List'!$H$4,$S808-4,0))</f>
        <v/>
      </c>
      <c r="J808" s="294" t="str">
        <f ca="1">IF(ISERROR($S808),"",OFFSET('Smelter Reference List'!$I$4,$S808-4,0))</f>
        <v/>
      </c>
      <c r="K808" s="295"/>
      <c r="L808" s="295"/>
      <c r="M808" s="295"/>
      <c r="N808" s="295"/>
      <c r="O808" s="295"/>
      <c r="P808" s="295"/>
      <c r="Q808" s="296"/>
      <c r="R808" s="227"/>
      <c r="S808" s="228" t="e">
        <f>IF(C808="",NA(),MATCH($B808&amp;$C808,'Smelter Reference List'!$J:$J,0))</f>
        <v>#N/A</v>
      </c>
      <c r="T808" s="229"/>
      <c r="U808" s="229">
        <f t="shared" ca="1" si="26"/>
        <v>0</v>
      </c>
      <c r="V808" s="229"/>
      <c r="W808" s="229"/>
      <c r="Y808" s="223" t="str">
        <f t="shared" si="27"/>
        <v/>
      </c>
    </row>
    <row r="809" spans="1:25" s="223" customFormat="1" ht="20.25">
      <c r="A809" s="291"/>
      <c r="B809" s="292" t="str">
        <f>IF(LEN(A809)=0,"",INDEX('Smelter Reference List'!$A:$A,MATCH($A809,'Smelter Reference List'!$E:$E,0)))</f>
        <v/>
      </c>
      <c r="C809" s="298" t="str">
        <f>IF(LEN(A809)=0,"",INDEX('Smelter Reference List'!$C:$C,MATCH($A809,'Smelter Reference List'!$E:$E,0)))</f>
        <v/>
      </c>
      <c r="D809" s="292" t="str">
        <f ca="1">IF(ISERROR($S809),"",OFFSET('Smelter Reference List'!$C$4,$S809-4,0)&amp;"")</f>
        <v/>
      </c>
      <c r="E809" s="292" t="str">
        <f ca="1">IF(ISERROR($S809),"",OFFSET('Smelter Reference List'!$D$4,$S809-4,0)&amp;"")</f>
        <v/>
      </c>
      <c r="F809" s="292" t="str">
        <f ca="1">IF(ISERROR($S809),"",OFFSET('Smelter Reference List'!$E$4,$S809-4,0))</f>
        <v/>
      </c>
      <c r="G809" s="292" t="str">
        <f ca="1">IF(C809=$U$4,"Enter smelter details", IF(ISERROR($S809),"",OFFSET('Smelter Reference List'!$F$4,$S809-4,0)))</f>
        <v/>
      </c>
      <c r="H809" s="293" t="str">
        <f ca="1">IF(ISERROR($S809),"",OFFSET('Smelter Reference List'!$G$4,$S809-4,0))</f>
        <v/>
      </c>
      <c r="I809" s="294" t="str">
        <f ca="1">IF(ISERROR($S809),"",OFFSET('Smelter Reference List'!$H$4,$S809-4,0))</f>
        <v/>
      </c>
      <c r="J809" s="294" t="str">
        <f ca="1">IF(ISERROR($S809),"",OFFSET('Smelter Reference List'!$I$4,$S809-4,0))</f>
        <v/>
      </c>
      <c r="K809" s="295"/>
      <c r="L809" s="295"/>
      <c r="M809" s="295"/>
      <c r="N809" s="295"/>
      <c r="O809" s="295"/>
      <c r="P809" s="295"/>
      <c r="Q809" s="296"/>
      <c r="R809" s="227"/>
      <c r="S809" s="228" t="e">
        <f>IF(C809="",NA(),MATCH($B809&amp;$C809,'Smelter Reference List'!$J:$J,0))</f>
        <v>#N/A</v>
      </c>
      <c r="T809" s="229"/>
      <c r="U809" s="229">
        <f t="shared" ca="1" si="26"/>
        <v>0</v>
      </c>
      <c r="V809" s="229"/>
      <c r="W809" s="229"/>
      <c r="Y809" s="223" t="str">
        <f t="shared" si="27"/>
        <v/>
      </c>
    </row>
    <row r="810" spans="1:25" s="223" customFormat="1" ht="20.25">
      <c r="A810" s="291"/>
      <c r="B810" s="292" t="str">
        <f>IF(LEN(A810)=0,"",INDEX('Smelter Reference List'!$A:$A,MATCH($A810,'Smelter Reference List'!$E:$E,0)))</f>
        <v/>
      </c>
      <c r="C810" s="298" t="str">
        <f>IF(LEN(A810)=0,"",INDEX('Smelter Reference List'!$C:$C,MATCH($A810,'Smelter Reference List'!$E:$E,0)))</f>
        <v/>
      </c>
      <c r="D810" s="292" t="str">
        <f ca="1">IF(ISERROR($S810),"",OFFSET('Smelter Reference List'!$C$4,$S810-4,0)&amp;"")</f>
        <v/>
      </c>
      <c r="E810" s="292" t="str">
        <f ca="1">IF(ISERROR($S810),"",OFFSET('Smelter Reference List'!$D$4,$S810-4,0)&amp;"")</f>
        <v/>
      </c>
      <c r="F810" s="292" t="str">
        <f ca="1">IF(ISERROR($S810),"",OFFSET('Smelter Reference List'!$E$4,$S810-4,0))</f>
        <v/>
      </c>
      <c r="G810" s="292" t="str">
        <f ca="1">IF(C810=$U$4,"Enter smelter details", IF(ISERROR($S810),"",OFFSET('Smelter Reference List'!$F$4,$S810-4,0)))</f>
        <v/>
      </c>
      <c r="H810" s="293" t="str">
        <f ca="1">IF(ISERROR($S810),"",OFFSET('Smelter Reference List'!$G$4,$S810-4,0))</f>
        <v/>
      </c>
      <c r="I810" s="294" t="str">
        <f ca="1">IF(ISERROR($S810),"",OFFSET('Smelter Reference List'!$H$4,$S810-4,0))</f>
        <v/>
      </c>
      <c r="J810" s="294" t="str">
        <f ca="1">IF(ISERROR($S810),"",OFFSET('Smelter Reference List'!$I$4,$S810-4,0))</f>
        <v/>
      </c>
      <c r="K810" s="295"/>
      <c r="L810" s="295"/>
      <c r="M810" s="295"/>
      <c r="N810" s="295"/>
      <c r="O810" s="295"/>
      <c r="P810" s="295"/>
      <c r="Q810" s="296"/>
      <c r="R810" s="227"/>
      <c r="S810" s="228" t="e">
        <f>IF(C810="",NA(),MATCH($B810&amp;$C810,'Smelter Reference List'!$J:$J,0))</f>
        <v>#N/A</v>
      </c>
      <c r="T810" s="229"/>
      <c r="U810" s="229">
        <f t="shared" ca="1" si="26"/>
        <v>0</v>
      </c>
      <c r="V810" s="229"/>
      <c r="W810" s="229"/>
      <c r="Y810" s="223" t="str">
        <f t="shared" si="27"/>
        <v/>
      </c>
    </row>
    <row r="811" spans="1:25" s="223" customFormat="1" ht="20.25">
      <c r="A811" s="291"/>
      <c r="B811" s="292" t="str">
        <f>IF(LEN(A811)=0,"",INDEX('Smelter Reference List'!$A:$A,MATCH($A811,'Smelter Reference List'!$E:$E,0)))</f>
        <v/>
      </c>
      <c r="C811" s="298" t="str">
        <f>IF(LEN(A811)=0,"",INDEX('Smelter Reference List'!$C:$C,MATCH($A811,'Smelter Reference List'!$E:$E,0)))</f>
        <v/>
      </c>
      <c r="D811" s="292" t="str">
        <f ca="1">IF(ISERROR($S811),"",OFFSET('Smelter Reference List'!$C$4,$S811-4,0)&amp;"")</f>
        <v/>
      </c>
      <c r="E811" s="292" t="str">
        <f ca="1">IF(ISERROR($S811),"",OFFSET('Smelter Reference List'!$D$4,$S811-4,0)&amp;"")</f>
        <v/>
      </c>
      <c r="F811" s="292" t="str">
        <f ca="1">IF(ISERROR($S811),"",OFFSET('Smelter Reference List'!$E$4,$S811-4,0))</f>
        <v/>
      </c>
      <c r="G811" s="292" t="str">
        <f ca="1">IF(C811=$U$4,"Enter smelter details", IF(ISERROR($S811),"",OFFSET('Smelter Reference List'!$F$4,$S811-4,0)))</f>
        <v/>
      </c>
      <c r="H811" s="293" t="str">
        <f ca="1">IF(ISERROR($S811),"",OFFSET('Smelter Reference List'!$G$4,$S811-4,0))</f>
        <v/>
      </c>
      <c r="I811" s="294" t="str">
        <f ca="1">IF(ISERROR($S811),"",OFFSET('Smelter Reference List'!$H$4,$S811-4,0))</f>
        <v/>
      </c>
      <c r="J811" s="294" t="str">
        <f ca="1">IF(ISERROR($S811),"",OFFSET('Smelter Reference List'!$I$4,$S811-4,0))</f>
        <v/>
      </c>
      <c r="K811" s="295"/>
      <c r="L811" s="295"/>
      <c r="M811" s="295"/>
      <c r="N811" s="295"/>
      <c r="O811" s="295"/>
      <c r="P811" s="295"/>
      <c r="Q811" s="296"/>
      <c r="R811" s="227"/>
      <c r="S811" s="228" t="e">
        <f>IF(C811="",NA(),MATCH($B811&amp;$C811,'Smelter Reference List'!$J:$J,0))</f>
        <v>#N/A</v>
      </c>
      <c r="T811" s="229"/>
      <c r="U811" s="229">
        <f t="shared" ca="1" si="26"/>
        <v>0</v>
      </c>
      <c r="V811" s="229"/>
      <c r="W811" s="229"/>
      <c r="Y811" s="223" t="str">
        <f t="shared" si="27"/>
        <v/>
      </c>
    </row>
    <row r="812" spans="1:25" s="223" customFormat="1" ht="20.25">
      <c r="A812" s="291"/>
      <c r="B812" s="292" t="str">
        <f>IF(LEN(A812)=0,"",INDEX('Smelter Reference List'!$A:$A,MATCH($A812,'Smelter Reference List'!$E:$E,0)))</f>
        <v/>
      </c>
      <c r="C812" s="298" t="str">
        <f>IF(LEN(A812)=0,"",INDEX('Smelter Reference List'!$C:$C,MATCH($A812,'Smelter Reference List'!$E:$E,0)))</f>
        <v/>
      </c>
      <c r="D812" s="292" t="str">
        <f ca="1">IF(ISERROR($S812),"",OFFSET('Smelter Reference List'!$C$4,$S812-4,0)&amp;"")</f>
        <v/>
      </c>
      <c r="E812" s="292" t="str">
        <f ca="1">IF(ISERROR($S812),"",OFFSET('Smelter Reference List'!$D$4,$S812-4,0)&amp;"")</f>
        <v/>
      </c>
      <c r="F812" s="292" t="str">
        <f ca="1">IF(ISERROR($S812),"",OFFSET('Smelter Reference List'!$E$4,$S812-4,0))</f>
        <v/>
      </c>
      <c r="G812" s="292" t="str">
        <f ca="1">IF(C812=$U$4,"Enter smelter details", IF(ISERROR($S812),"",OFFSET('Smelter Reference List'!$F$4,$S812-4,0)))</f>
        <v/>
      </c>
      <c r="H812" s="293" t="str">
        <f ca="1">IF(ISERROR($S812),"",OFFSET('Smelter Reference List'!$G$4,$S812-4,0))</f>
        <v/>
      </c>
      <c r="I812" s="294" t="str">
        <f ca="1">IF(ISERROR($S812),"",OFFSET('Smelter Reference List'!$H$4,$S812-4,0))</f>
        <v/>
      </c>
      <c r="J812" s="294" t="str">
        <f ca="1">IF(ISERROR($S812),"",OFFSET('Smelter Reference List'!$I$4,$S812-4,0))</f>
        <v/>
      </c>
      <c r="K812" s="295"/>
      <c r="L812" s="295"/>
      <c r="M812" s="295"/>
      <c r="N812" s="295"/>
      <c r="O812" s="295"/>
      <c r="P812" s="295"/>
      <c r="Q812" s="296"/>
      <c r="R812" s="227"/>
      <c r="S812" s="228" t="e">
        <f>IF(C812="",NA(),MATCH($B812&amp;$C812,'Smelter Reference List'!$J:$J,0))</f>
        <v>#N/A</v>
      </c>
      <c r="T812" s="229"/>
      <c r="U812" s="229">
        <f t="shared" ca="1" si="26"/>
        <v>0</v>
      </c>
      <c r="V812" s="229"/>
      <c r="W812" s="229"/>
      <c r="Y812" s="223" t="str">
        <f t="shared" si="27"/>
        <v/>
      </c>
    </row>
    <row r="813" spans="1:25" s="223" customFormat="1" ht="20.25">
      <c r="A813" s="291"/>
      <c r="B813" s="292" t="str">
        <f>IF(LEN(A813)=0,"",INDEX('Smelter Reference List'!$A:$A,MATCH($A813,'Smelter Reference List'!$E:$E,0)))</f>
        <v/>
      </c>
      <c r="C813" s="298" t="str">
        <f>IF(LEN(A813)=0,"",INDEX('Smelter Reference List'!$C:$C,MATCH($A813,'Smelter Reference List'!$E:$E,0)))</f>
        <v/>
      </c>
      <c r="D813" s="292" t="str">
        <f ca="1">IF(ISERROR($S813),"",OFFSET('Smelter Reference List'!$C$4,$S813-4,0)&amp;"")</f>
        <v/>
      </c>
      <c r="E813" s="292" t="str">
        <f ca="1">IF(ISERROR($S813),"",OFFSET('Smelter Reference List'!$D$4,$S813-4,0)&amp;"")</f>
        <v/>
      </c>
      <c r="F813" s="292" t="str">
        <f ca="1">IF(ISERROR($S813),"",OFFSET('Smelter Reference List'!$E$4,$S813-4,0))</f>
        <v/>
      </c>
      <c r="G813" s="292" t="str">
        <f ca="1">IF(C813=$U$4,"Enter smelter details", IF(ISERROR($S813),"",OFFSET('Smelter Reference List'!$F$4,$S813-4,0)))</f>
        <v/>
      </c>
      <c r="H813" s="293" t="str">
        <f ca="1">IF(ISERROR($S813),"",OFFSET('Smelter Reference List'!$G$4,$S813-4,0))</f>
        <v/>
      </c>
      <c r="I813" s="294" t="str">
        <f ca="1">IF(ISERROR($S813),"",OFFSET('Smelter Reference List'!$H$4,$S813-4,0))</f>
        <v/>
      </c>
      <c r="J813" s="294" t="str">
        <f ca="1">IF(ISERROR($S813),"",OFFSET('Smelter Reference List'!$I$4,$S813-4,0))</f>
        <v/>
      </c>
      <c r="K813" s="295"/>
      <c r="L813" s="295"/>
      <c r="M813" s="295"/>
      <c r="N813" s="295"/>
      <c r="O813" s="295"/>
      <c r="P813" s="295"/>
      <c r="Q813" s="296"/>
      <c r="R813" s="227"/>
      <c r="S813" s="228" t="e">
        <f>IF(C813="",NA(),MATCH($B813&amp;$C813,'Smelter Reference List'!$J:$J,0))</f>
        <v>#N/A</v>
      </c>
      <c r="T813" s="229"/>
      <c r="U813" s="229">
        <f t="shared" ca="1" si="26"/>
        <v>0</v>
      </c>
      <c r="V813" s="229"/>
      <c r="W813" s="229"/>
      <c r="Y813" s="223" t="str">
        <f t="shared" si="27"/>
        <v/>
      </c>
    </row>
    <row r="814" spans="1:25" s="223" customFormat="1" ht="20.25">
      <c r="A814" s="291"/>
      <c r="B814" s="292" t="str">
        <f>IF(LEN(A814)=0,"",INDEX('Smelter Reference List'!$A:$A,MATCH($A814,'Smelter Reference List'!$E:$E,0)))</f>
        <v/>
      </c>
      <c r="C814" s="298" t="str">
        <f>IF(LEN(A814)=0,"",INDEX('Smelter Reference List'!$C:$C,MATCH($A814,'Smelter Reference List'!$E:$E,0)))</f>
        <v/>
      </c>
      <c r="D814" s="292" t="str">
        <f ca="1">IF(ISERROR($S814),"",OFFSET('Smelter Reference List'!$C$4,$S814-4,0)&amp;"")</f>
        <v/>
      </c>
      <c r="E814" s="292" t="str">
        <f ca="1">IF(ISERROR($S814),"",OFFSET('Smelter Reference List'!$D$4,$S814-4,0)&amp;"")</f>
        <v/>
      </c>
      <c r="F814" s="292" t="str">
        <f ca="1">IF(ISERROR($S814),"",OFFSET('Smelter Reference List'!$E$4,$S814-4,0))</f>
        <v/>
      </c>
      <c r="G814" s="292" t="str">
        <f ca="1">IF(C814=$U$4,"Enter smelter details", IF(ISERROR($S814),"",OFFSET('Smelter Reference List'!$F$4,$S814-4,0)))</f>
        <v/>
      </c>
      <c r="H814" s="293" t="str">
        <f ca="1">IF(ISERROR($S814),"",OFFSET('Smelter Reference List'!$G$4,$S814-4,0))</f>
        <v/>
      </c>
      <c r="I814" s="294" t="str">
        <f ca="1">IF(ISERROR($S814),"",OFFSET('Smelter Reference List'!$H$4,$S814-4,0))</f>
        <v/>
      </c>
      <c r="J814" s="294" t="str">
        <f ca="1">IF(ISERROR($S814),"",OFFSET('Smelter Reference List'!$I$4,$S814-4,0))</f>
        <v/>
      </c>
      <c r="K814" s="295"/>
      <c r="L814" s="295"/>
      <c r="M814" s="295"/>
      <c r="N814" s="295"/>
      <c r="O814" s="295"/>
      <c r="P814" s="295"/>
      <c r="Q814" s="296"/>
      <c r="R814" s="227"/>
      <c r="S814" s="228" t="e">
        <f>IF(C814="",NA(),MATCH($B814&amp;$C814,'Smelter Reference List'!$J:$J,0))</f>
        <v>#N/A</v>
      </c>
      <c r="T814" s="229"/>
      <c r="U814" s="229">
        <f t="shared" ca="1" si="26"/>
        <v>0</v>
      </c>
      <c r="V814" s="229"/>
      <c r="W814" s="229"/>
      <c r="Y814" s="223" t="str">
        <f t="shared" si="27"/>
        <v/>
      </c>
    </row>
    <row r="815" spans="1:25" s="223" customFormat="1" ht="20.25">
      <c r="A815" s="291"/>
      <c r="B815" s="292" t="str">
        <f>IF(LEN(A815)=0,"",INDEX('Smelter Reference List'!$A:$A,MATCH($A815,'Smelter Reference List'!$E:$E,0)))</f>
        <v/>
      </c>
      <c r="C815" s="298" t="str">
        <f>IF(LEN(A815)=0,"",INDEX('Smelter Reference List'!$C:$C,MATCH($A815,'Smelter Reference List'!$E:$E,0)))</f>
        <v/>
      </c>
      <c r="D815" s="292" t="str">
        <f ca="1">IF(ISERROR($S815),"",OFFSET('Smelter Reference List'!$C$4,$S815-4,0)&amp;"")</f>
        <v/>
      </c>
      <c r="E815" s="292" t="str">
        <f ca="1">IF(ISERROR($S815),"",OFFSET('Smelter Reference List'!$D$4,$S815-4,0)&amp;"")</f>
        <v/>
      </c>
      <c r="F815" s="292" t="str">
        <f ca="1">IF(ISERROR($S815),"",OFFSET('Smelter Reference List'!$E$4,$S815-4,0))</f>
        <v/>
      </c>
      <c r="G815" s="292" t="str">
        <f ca="1">IF(C815=$U$4,"Enter smelter details", IF(ISERROR($S815),"",OFFSET('Smelter Reference List'!$F$4,$S815-4,0)))</f>
        <v/>
      </c>
      <c r="H815" s="293" t="str">
        <f ca="1">IF(ISERROR($S815),"",OFFSET('Smelter Reference List'!$G$4,$S815-4,0))</f>
        <v/>
      </c>
      <c r="I815" s="294" t="str">
        <f ca="1">IF(ISERROR($S815),"",OFFSET('Smelter Reference List'!$H$4,$S815-4,0))</f>
        <v/>
      </c>
      <c r="J815" s="294" t="str">
        <f ca="1">IF(ISERROR($S815),"",OFFSET('Smelter Reference List'!$I$4,$S815-4,0))</f>
        <v/>
      </c>
      <c r="K815" s="295"/>
      <c r="L815" s="295"/>
      <c r="M815" s="295"/>
      <c r="N815" s="295"/>
      <c r="O815" s="295"/>
      <c r="P815" s="295"/>
      <c r="Q815" s="296"/>
      <c r="R815" s="227"/>
      <c r="S815" s="228" t="e">
        <f>IF(C815="",NA(),MATCH($B815&amp;$C815,'Smelter Reference List'!$J:$J,0))</f>
        <v>#N/A</v>
      </c>
      <c r="T815" s="229"/>
      <c r="U815" s="229">
        <f t="shared" ca="1" si="26"/>
        <v>0</v>
      </c>
      <c r="V815" s="229"/>
      <c r="W815" s="229"/>
      <c r="Y815" s="223" t="str">
        <f t="shared" si="27"/>
        <v/>
      </c>
    </row>
    <row r="816" spans="1:25" s="223" customFormat="1" ht="20.25">
      <c r="A816" s="291"/>
      <c r="B816" s="292" t="str">
        <f>IF(LEN(A816)=0,"",INDEX('Smelter Reference List'!$A:$A,MATCH($A816,'Smelter Reference List'!$E:$E,0)))</f>
        <v/>
      </c>
      <c r="C816" s="298" t="str">
        <f>IF(LEN(A816)=0,"",INDEX('Smelter Reference List'!$C:$C,MATCH($A816,'Smelter Reference List'!$E:$E,0)))</f>
        <v/>
      </c>
      <c r="D816" s="292" t="str">
        <f ca="1">IF(ISERROR($S816),"",OFFSET('Smelter Reference List'!$C$4,$S816-4,0)&amp;"")</f>
        <v/>
      </c>
      <c r="E816" s="292" t="str">
        <f ca="1">IF(ISERROR($S816),"",OFFSET('Smelter Reference List'!$D$4,$S816-4,0)&amp;"")</f>
        <v/>
      </c>
      <c r="F816" s="292" t="str">
        <f ca="1">IF(ISERROR($S816),"",OFFSET('Smelter Reference List'!$E$4,$S816-4,0))</f>
        <v/>
      </c>
      <c r="G816" s="292" t="str">
        <f ca="1">IF(C816=$U$4,"Enter smelter details", IF(ISERROR($S816),"",OFFSET('Smelter Reference List'!$F$4,$S816-4,0)))</f>
        <v/>
      </c>
      <c r="H816" s="293" t="str">
        <f ca="1">IF(ISERROR($S816),"",OFFSET('Smelter Reference List'!$G$4,$S816-4,0))</f>
        <v/>
      </c>
      <c r="I816" s="294" t="str">
        <f ca="1">IF(ISERROR($S816),"",OFFSET('Smelter Reference List'!$H$4,$S816-4,0))</f>
        <v/>
      </c>
      <c r="J816" s="294" t="str">
        <f ca="1">IF(ISERROR($S816),"",OFFSET('Smelter Reference List'!$I$4,$S816-4,0))</f>
        <v/>
      </c>
      <c r="K816" s="295"/>
      <c r="L816" s="295"/>
      <c r="M816" s="295"/>
      <c r="N816" s="295"/>
      <c r="O816" s="295"/>
      <c r="P816" s="295"/>
      <c r="Q816" s="296"/>
      <c r="R816" s="227"/>
      <c r="S816" s="228" t="e">
        <f>IF(C816="",NA(),MATCH($B816&amp;$C816,'Smelter Reference List'!$J:$J,0))</f>
        <v>#N/A</v>
      </c>
      <c r="T816" s="229"/>
      <c r="U816" s="229">
        <f t="shared" ca="1" si="26"/>
        <v>0</v>
      </c>
      <c r="V816" s="229"/>
      <c r="W816" s="229"/>
      <c r="Y816" s="223" t="str">
        <f t="shared" si="27"/>
        <v/>
      </c>
    </row>
    <row r="817" spans="1:25" s="223" customFormat="1" ht="20.25">
      <c r="A817" s="291"/>
      <c r="B817" s="292" t="str">
        <f>IF(LEN(A817)=0,"",INDEX('Smelter Reference List'!$A:$A,MATCH($A817,'Smelter Reference List'!$E:$E,0)))</f>
        <v/>
      </c>
      <c r="C817" s="298" t="str">
        <f>IF(LEN(A817)=0,"",INDEX('Smelter Reference List'!$C:$C,MATCH($A817,'Smelter Reference List'!$E:$E,0)))</f>
        <v/>
      </c>
      <c r="D817" s="292" t="str">
        <f ca="1">IF(ISERROR($S817),"",OFFSET('Smelter Reference List'!$C$4,$S817-4,0)&amp;"")</f>
        <v/>
      </c>
      <c r="E817" s="292" t="str">
        <f ca="1">IF(ISERROR($S817),"",OFFSET('Smelter Reference List'!$D$4,$S817-4,0)&amp;"")</f>
        <v/>
      </c>
      <c r="F817" s="292" t="str">
        <f ca="1">IF(ISERROR($S817),"",OFFSET('Smelter Reference List'!$E$4,$S817-4,0))</f>
        <v/>
      </c>
      <c r="G817" s="292" t="str">
        <f ca="1">IF(C817=$U$4,"Enter smelter details", IF(ISERROR($S817),"",OFFSET('Smelter Reference List'!$F$4,$S817-4,0)))</f>
        <v/>
      </c>
      <c r="H817" s="293" t="str">
        <f ca="1">IF(ISERROR($S817),"",OFFSET('Smelter Reference List'!$G$4,$S817-4,0))</f>
        <v/>
      </c>
      <c r="I817" s="294" t="str">
        <f ca="1">IF(ISERROR($S817),"",OFFSET('Smelter Reference List'!$H$4,$S817-4,0))</f>
        <v/>
      </c>
      <c r="J817" s="294" t="str">
        <f ca="1">IF(ISERROR($S817),"",OFFSET('Smelter Reference List'!$I$4,$S817-4,0))</f>
        <v/>
      </c>
      <c r="K817" s="295"/>
      <c r="L817" s="295"/>
      <c r="M817" s="295"/>
      <c r="N817" s="295"/>
      <c r="O817" s="295"/>
      <c r="P817" s="295"/>
      <c r="Q817" s="296"/>
      <c r="R817" s="227"/>
      <c r="S817" s="228" t="e">
        <f>IF(C817="",NA(),MATCH($B817&amp;$C817,'Smelter Reference List'!$J:$J,0))</f>
        <v>#N/A</v>
      </c>
      <c r="T817" s="229"/>
      <c r="U817" s="229">
        <f t="shared" ca="1" si="26"/>
        <v>0</v>
      </c>
      <c r="V817" s="229"/>
      <c r="W817" s="229"/>
      <c r="Y817" s="223" t="str">
        <f t="shared" si="27"/>
        <v/>
      </c>
    </row>
    <row r="818" spans="1:25" s="223" customFormat="1" ht="20.25">
      <c r="A818" s="291"/>
      <c r="B818" s="292" t="str">
        <f>IF(LEN(A818)=0,"",INDEX('Smelter Reference List'!$A:$A,MATCH($A818,'Smelter Reference List'!$E:$E,0)))</f>
        <v/>
      </c>
      <c r="C818" s="298" t="str">
        <f>IF(LEN(A818)=0,"",INDEX('Smelter Reference List'!$C:$C,MATCH($A818,'Smelter Reference List'!$E:$E,0)))</f>
        <v/>
      </c>
      <c r="D818" s="292" t="str">
        <f ca="1">IF(ISERROR($S818),"",OFFSET('Smelter Reference List'!$C$4,$S818-4,0)&amp;"")</f>
        <v/>
      </c>
      <c r="E818" s="292" t="str">
        <f ca="1">IF(ISERROR($S818),"",OFFSET('Smelter Reference List'!$D$4,$S818-4,0)&amp;"")</f>
        <v/>
      </c>
      <c r="F818" s="292" t="str">
        <f ca="1">IF(ISERROR($S818),"",OFFSET('Smelter Reference List'!$E$4,$S818-4,0))</f>
        <v/>
      </c>
      <c r="G818" s="292" t="str">
        <f ca="1">IF(C818=$U$4,"Enter smelter details", IF(ISERROR($S818),"",OFFSET('Smelter Reference List'!$F$4,$S818-4,0)))</f>
        <v/>
      </c>
      <c r="H818" s="293" t="str">
        <f ca="1">IF(ISERROR($S818),"",OFFSET('Smelter Reference List'!$G$4,$S818-4,0))</f>
        <v/>
      </c>
      <c r="I818" s="294" t="str">
        <f ca="1">IF(ISERROR($S818),"",OFFSET('Smelter Reference List'!$H$4,$S818-4,0))</f>
        <v/>
      </c>
      <c r="J818" s="294" t="str">
        <f ca="1">IF(ISERROR($S818),"",OFFSET('Smelter Reference List'!$I$4,$S818-4,0))</f>
        <v/>
      </c>
      <c r="K818" s="295"/>
      <c r="L818" s="295"/>
      <c r="M818" s="295"/>
      <c r="N818" s="295"/>
      <c r="O818" s="295"/>
      <c r="P818" s="295"/>
      <c r="Q818" s="296"/>
      <c r="R818" s="227"/>
      <c r="S818" s="228" t="e">
        <f>IF(C818="",NA(),MATCH($B818&amp;$C818,'Smelter Reference List'!$J:$J,0))</f>
        <v>#N/A</v>
      </c>
      <c r="T818" s="229"/>
      <c r="U818" s="229">
        <f t="shared" ca="1" si="26"/>
        <v>0</v>
      </c>
      <c r="V818" s="229"/>
      <c r="W818" s="229"/>
      <c r="Y818" s="223" t="str">
        <f t="shared" si="27"/>
        <v/>
      </c>
    </row>
    <row r="819" spans="1:25" s="223" customFormat="1" ht="20.25">
      <c r="A819" s="291"/>
      <c r="B819" s="292" t="str">
        <f>IF(LEN(A819)=0,"",INDEX('Smelter Reference List'!$A:$A,MATCH($A819,'Smelter Reference List'!$E:$E,0)))</f>
        <v/>
      </c>
      <c r="C819" s="298" t="str">
        <f>IF(LEN(A819)=0,"",INDEX('Smelter Reference List'!$C:$C,MATCH($A819,'Smelter Reference List'!$E:$E,0)))</f>
        <v/>
      </c>
      <c r="D819" s="292" t="str">
        <f ca="1">IF(ISERROR($S819),"",OFFSET('Smelter Reference List'!$C$4,$S819-4,0)&amp;"")</f>
        <v/>
      </c>
      <c r="E819" s="292" t="str">
        <f ca="1">IF(ISERROR($S819),"",OFFSET('Smelter Reference List'!$D$4,$S819-4,0)&amp;"")</f>
        <v/>
      </c>
      <c r="F819" s="292" t="str">
        <f ca="1">IF(ISERROR($S819),"",OFFSET('Smelter Reference List'!$E$4,$S819-4,0))</f>
        <v/>
      </c>
      <c r="G819" s="292" t="str">
        <f ca="1">IF(C819=$U$4,"Enter smelter details", IF(ISERROR($S819),"",OFFSET('Smelter Reference List'!$F$4,$S819-4,0)))</f>
        <v/>
      </c>
      <c r="H819" s="293" t="str">
        <f ca="1">IF(ISERROR($S819),"",OFFSET('Smelter Reference List'!$G$4,$S819-4,0))</f>
        <v/>
      </c>
      <c r="I819" s="294" t="str">
        <f ca="1">IF(ISERROR($S819),"",OFFSET('Smelter Reference List'!$H$4,$S819-4,0))</f>
        <v/>
      </c>
      <c r="J819" s="294" t="str">
        <f ca="1">IF(ISERROR($S819),"",OFFSET('Smelter Reference List'!$I$4,$S819-4,0))</f>
        <v/>
      </c>
      <c r="K819" s="295"/>
      <c r="L819" s="295"/>
      <c r="M819" s="295"/>
      <c r="N819" s="295"/>
      <c r="O819" s="295"/>
      <c r="P819" s="295"/>
      <c r="Q819" s="296"/>
      <c r="R819" s="227"/>
      <c r="S819" s="228" t="e">
        <f>IF(C819="",NA(),MATCH($B819&amp;$C819,'Smelter Reference List'!$J:$J,0))</f>
        <v>#N/A</v>
      </c>
      <c r="T819" s="229"/>
      <c r="U819" s="229">
        <f t="shared" ca="1" si="26"/>
        <v>0</v>
      </c>
      <c r="V819" s="229"/>
      <c r="W819" s="229"/>
      <c r="Y819" s="223" t="str">
        <f t="shared" si="27"/>
        <v/>
      </c>
    </row>
    <row r="820" spans="1:25" s="223" customFormat="1" ht="20.25">
      <c r="A820" s="291"/>
      <c r="B820" s="292" t="str">
        <f>IF(LEN(A820)=0,"",INDEX('Smelter Reference List'!$A:$A,MATCH($A820,'Smelter Reference List'!$E:$E,0)))</f>
        <v/>
      </c>
      <c r="C820" s="298" t="str">
        <f>IF(LEN(A820)=0,"",INDEX('Smelter Reference List'!$C:$C,MATCH($A820,'Smelter Reference List'!$E:$E,0)))</f>
        <v/>
      </c>
      <c r="D820" s="292" t="str">
        <f ca="1">IF(ISERROR($S820),"",OFFSET('Smelter Reference List'!$C$4,$S820-4,0)&amp;"")</f>
        <v/>
      </c>
      <c r="E820" s="292" t="str">
        <f ca="1">IF(ISERROR($S820),"",OFFSET('Smelter Reference List'!$D$4,$S820-4,0)&amp;"")</f>
        <v/>
      </c>
      <c r="F820" s="292" t="str">
        <f ca="1">IF(ISERROR($S820),"",OFFSET('Smelter Reference List'!$E$4,$S820-4,0))</f>
        <v/>
      </c>
      <c r="G820" s="292" t="str">
        <f ca="1">IF(C820=$U$4,"Enter smelter details", IF(ISERROR($S820),"",OFFSET('Smelter Reference List'!$F$4,$S820-4,0)))</f>
        <v/>
      </c>
      <c r="H820" s="293" t="str">
        <f ca="1">IF(ISERROR($S820),"",OFFSET('Smelter Reference List'!$G$4,$S820-4,0))</f>
        <v/>
      </c>
      <c r="I820" s="294" t="str">
        <f ca="1">IF(ISERROR($S820),"",OFFSET('Smelter Reference List'!$H$4,$S820-4,0))</f>
        <v/>
      </c>
      <c r="J820" s="294" t="str">
        <f ca="1">IF(ISERROR($S820),"",OFFSET('Smelter Reference List'!$I$4,$S820-4,0))</f>
        <v/>
      </c>
      <c r="K820" s="295"/>
      <c r="L820" s="295"/>
      <c r="M820" s="295"/>
      <c r="N820" s="295"/>
      <c r="O820" s="295"/>
      <c r="P820" s="295"/>
      <c r="Q820" s="296"/>
      <c r="R820" s="227"/>
      <c r="S820" s="228" t="e">
        <f>IF(C820="",NA(),MATCH($B820&amp;$C820,'Smelter Reference List'!$J:$J,0))</f>
        <v>#N/A</v>
      </c>
      <c r="T820" s="229"/>
      <c r="U820" s="229">
        <f t="shared" ca="1" si="26"/>
        <v>0</v>
      </c>
      <c r="V820" s="229"/>
      <c r="W820" s="229"/>
      <c r="Y820" s="223" t="str">
        <f t="shared" si="27"/>
        <v/>
      </c>
    </row>
    <row r="821" spans="1:25" s="223" customFormat="1" ht="20.25">
      <c r="A821" s="291"/>
      <c r="B821" s="292" t="str">
        <f>IF(LEN(A821)=0,"",INDEX('Smelter Reference List'!$A:$A,MATCH($A821,'Smelter Reference List'!$E:$E,0)))</f>
        <v/>
      </c>
      <c r="C821" s="298" t="str">
        <f>IF(LEN(A821)=0,"",INDEX('Smelter Reference List'!$C:$C,MATCH($A821,'Smelter Reference List'!$E:$E,0)))</f>
        <v/>
      </c>
      <c r="D821" s="292" t="str">
        <f ca="1">IF(ISERROR($S821),"",OFFSET('Smelter Reference List'!$C$4,$S821-4,0)&amp;"")</f>
        <v/>
      </c>
      <c r="E821" s="292" t="str">
        <f ca="1">IF(ISERROR($S821),"",OFFSET('Smelter Reference List'!$D$4,$S821-4,0)&amp;"")</f>
        <v/>
      </c>
      <c r="F821" s="292" t="str">
        <f ca="1">IF(ISERROR($S821),"",OFFSET('Smelter Reference List'!$E$4,$S821-4,0))</f>
        <v/>
      </c>
      <c r="G821" s="292" t="str">
        <f ca="1">IF(C821=$U$4,"Enter smelter details", IF(ISERROR($S821),"",OFFSET('Smelter Reference List'!$F$4,$S821-4,0)))</f>
        <v/>
      </c>
      <c r="H821" s="293" t="str">
        <f ca="1">IF(ISERROR($S821),"",OFFSET('Smelter Reference List'!$G$4,$S821-4,0))</f>
        <v/>
      </c>
      <c r="I821" s="294" t="str">
        <f ca="1">IF(ISERROR($S821),"",OFFSET('Smelter Reference List'!$H$4,$S821-4,0))</f>
        <v/>
      </c>
      <c r="J821" s="294" t="str">
        <f ca="1">IF(ISERROR($S821),"",OFFSET('Smelter Reference List'!$I$4,$S821-4,0))</f>
        <v/>
      </c>
      <c r="K821" s="295"/>
      <c r="L821" s="295"/>
      <c r="M821" s="295"/>
      <c r="N821" s="295"/>
      <c r="O821" s="295"/>
      <c r="P821" s="295"/>
      <c r="Q821" s="296"/>
      <c r="R821" s="227"/>
      <c r="S821" s="228" t="e">
        <f>IF(C821="",NA(),MATCH($B821&amp;$C821,'Smelter Reference List'!$J:$J,0))</f>
        <v>#N/A</v>
      </c>
      <c r="T821" s="229"/>
      <c r="U821" s="229">
        <f t="shared" ca="1" si="26"/>
        <v>0</v>
      </c>
      <c r="V821" s="229"/>
      <c r="W821" s="229"/>
      <c r="Y821" s="223" t="str">
        <f t="shared" si="27"/>
        <v/>
      </c>
    </row>
    <row r="822" spans="1:25" s="223" customFormat="1" ht="20.25">
      <c r="A822" s="291"/>
      <c r="B822" s="292" t="str">
        <f>IF(LEN(A822)=0,"",INDEX('Smelter Reference List'!$A:$A,MATCH($A822,'Smelter Reference List'!$E:$E,0)))</f>
        <v/>
      </c>
      <c r="C822" s="298" t="str">
        <f>IF(LEN(A822)=0,"",INDEX('Smelter Reference List'!$C:$C,MATCH($A822,'Smelter Reference List'!$E:$E,0)))</f>
        <v/>
      </c>
      <c r="D822" s="292" t="str">
        <f ca="1">IF(ISERROR($S822),"",OFFSET('Smelter Reference List'!$C$4,$S822-4,0)&amp;"")</f>
        <v/>
      </c>
      <c r="E822" s="292" t="str">
        <f ca="1">IF(ISERROR($S822),"",OFFSET('Smelter Reference List'!$D$4,$S822-4,0)&amp;"")</f>
        <v/>
      </c>
      <c r="F822" s="292" t="str">
        <f ca="1">IF(ISERROR($S822),"",OFFSET('Smelter Reference List'!$E$4,$S822-4,0))</f>
        <v/>
      </c>
      <c r="G822" s="292" t="str">
        <f ca="1">IF(C822=$U$4,"Enter smelter details", IF(ISERROR($S822),"",OFFSET('Smelter Reference List'!$F$4,$S822-4,0)))</f>
        <v/>
      </c>
      <c r="H822" s="293" t="str">
        <f ca="1">IF(ISERROR($S822),"",OFFSET('Smelter Reference List'!$G$4,$S822-4,0))</f>
        <v/>
      </c>
      <c r="I822" s="294" t="str">
        <f ca="1">IF(ISERROR($S822),"",OFFSET('Smelter Reference List'!$H$4,$S822-4,0))</f>
        <v/>
      </c>
      <c r="J822" s="294" t="str">
        <f ca="1">IF(ISERROR($S822),"",OFFSET('Smelter Reference List'!$I$4,$S822-4,0))</f>
        <v/>
      </c>
      <c r="K822" s="295"/>
      <c r="L822" s="295"/>
      <c r="M822" s="295"/>
      <c r="N822" s="295"/>
      <c r="O822" s="295"/>
      <c r="P822" s="295"/>
      <c r="Q822" s="296"/>
      <c r="R822" s="227"/>
      <c r="S822" s="228" t="e">
        <f>IF(C822="",NA(),MATCH($B822&amp;$C822,'Smelter Reference List'!$J:$J,0))</f>
        <v>#N/A</v>
      </c>
      <c r="T822" s="229"/>
      <c r="U822" s="229">
        <f t="shared" ca="1" si="26"/>
        <v>0</v>
      </c>
      <c r="V822" s="229"/>
      <c r="W822" s="229"/>
      <c r="Y822" s="223" t="str">
        <f t="shared" si="27"/>
        <v/>
      </c>
    </row>
    <row r="823" spans="1:25" s="223" customFormat="1" ht="20.25">
      <c r="A823" s="291"/>
      <c r="B823" s="292" t="str">
        <f>IF(LEN(A823)=0,"",INDEX('Smelter Reference List'!$A:$A,MATCH($A823,'Smelter Reference List'!$E:$E,0)))</f>
        <v/>
      </c>
      <c r="C823" s="298" t="str">
        <f>IF(LEN(A823)=0,"",INDEX('Smelter Reference List'!$C:$C,MATCH($A823,'Smelter Reference List'!$E:$E,0)))</f>
        <v/>
      </c>
      <c r="D823" s="292" t="str">
        <f ca="1">IF(ISERROR($S823),"",OFFSET('Smelter Reference List'!$C$4,$S823-4,0)&amp;"")</f>
        <v/>
      </c>
      <c r="E823" s="292" t="str">
        <f ca="1">IF(ISERROR($S823),"",OFFSET('Smelter Reference List'!$D$4,$S823-4,0)&amp;"")</f>
        <v/>
      </c>
      <c r="F823" s="292" t="str">
        <f ca="1">IF(ISERROR($S823),"",OFFSET('Smelter Reference List'!$E$4,$S823-4,0))</f>
        <v/>
      </c>
      <c r="G823" s="292" t="str">
        <f ca="1">IF(C823=$U$4,"Enter smelter details", IF(ISERROR($S823),"",OFFSET('Smelter Reference List'!$F$4,$S823-4,0)))</f>
        <v/>
      </c>
      <c r="H823" s="293" t="str">
        <f ca="1">IF(ISERROR($S823),"",OFFSET('Smelter Reference List'!$G$4,$S823-4,0))</f>
        <v/>
      </c>
      <c r="I823" s="294" t="str">
        <f ca="1">IF(ISERROR($S823),"",OFFSET('Smelter Reference List'!$H$4,$S823-4,0))</f>
        <v/>
      </c>
      <c r="J823" s="294" t="str">
        <f ca="1">IF(ISERROR($S823),"",OFFSET('Smelter Reference List'!$I$4,$S823-4,0))</f>
        <v/>
      </c>
      <c r="K823" s="295"/>
      <c r="L823" s="295"/>
      <c r="M823" s="295"/>
      <c r="N823" s="295"/>
      <c r="O823" s="295"/>
      <c r="P823" s="295"/>
      <c r="Q823" s="296"/>
      <c r="R823" s="227"/>
      <c r="S823" s="228" t="e">
        <f>IF(C823="",NA(),MATCH($B823&amp;$C823,'Smelter Reference List'!$J:$J,0))</f>
        <v>#N/A</v>
      </c>
      <c r="T823" s="229"/>
      <c r="U823" s="229">
        <f t="shared" ca="1" si="26"/>
        <v>0</v>
      </c>
      <c r="V823" s="229"/>
      <c r="W823" s="229"/>
      <c r="Y823" s="223" t="str">
        <f t="shared" si="27"/>
        <v/>
      </c>
    </row>
    <row r="824" spans="1:25" s="223" customFormat="1" ht="20.25">
      <c r="A824" s="291"/>
      <c r="B824" s="292" t="str">
        <f>IF(LEN(A824)=0,"",INDEX('Smelter Reference List'!$A:$A,MATCH($A824,'Smelter Reference List'!$E:$E,0)))</f>
        <v/>
      </c>
      <c r="C824" s="298" t="str">
        <f>IF(LEN(A824)=0,"",INDEX('Smelter Reference List'!$C:$C,MATCH($A824,'Smelter Reference List'!$E:$E,0)))</f>
        <v/>
      </c>
      <c r="D824" s="292" t="str">
        <f ca="1">IF(ISERROR($S824),"",OFFSET('Smelter Reference List'!$C$4,$S824-4,0)&amp;"")</f>
        <v/>
      </c>
      <c r="E824" s="292" t="str">
        <f ca="1">IF(ISERROR($S824),"",OFFSET('Smelter Reference List'!$D$4,$S824-4,0)&amp;"")</f>
        <v/>
      </c>
      <c r="F824" s="292" t="str">
        <f ca="1">IF(ISERROR($S824),"",OFFSET('Smelter Reference List'!$E$4,$S824-4,0))</f>
        <v/>
      </c>
      <c r="G824" s="292" t="str">
        <f ca="1">IF(C824=$U$4,"Enter smelter details", IF(ISERROR($S824),"",OFFSET('Smelter Reference List'!$F$4,$S824-4,0)))</f>
        <v/>
      </c>
      <c r="H824" s="293" t="str">
        <f ca="1">IF(ISERROR($S824),"",OFFSET('Smelter Reference List'!$G$4,$S824-4,0))</f>
        <v/>
      </c>
      <c r="I824" s="294" t="str">
        <f ca="1">IF(ISERROR($S824),"",OFFSET('Smelter Reference List'!$H$4,$S824-4,0))</f>
        <v/>
      </c>
      <c r="J824" s="294" t="str">
        <f ca="1">IF(ISERROR($S824),"",OFFSET('Smelter Reference List'!$I$4,$S824-4,0))</f>
        <v/>
      </c>
      <c r="K824" s="295"/>
      <c r="L824" s="295"/>
      <c r="M824" s="295"/>
      <c r="N824" s="295"/>
      <c r="O824" s="295"/>
      <c r="P824" s="295"/>
      <c r="Q824" s="296"/>
      <c r="R824" s="227"/>
      <c r="S824" s="228" t="e">
        <f>IF(C824="",NA(),MATCH($B824&amp;$C824,'Smelter Reference List'!$J:$J,0))</f>
        <v>#N/A</v>
      </c>
      <c r="T824" s="229"/>
      <c r="U824" s="229">
        <f t="shared" ca="1" si="26"/>
        <v>0</v>
      </c>
      <c r="V824" s="229"/>
      <c r="W824" s="229"/>
      <c r="Y824" s="223" t="str">
        <f t="shared" si="27"/>
        <v/>
      </c>
    </row>
    <row r="825" spans="1:25" s="223" customFormat="1" ht="20.25">
      <c r="A825" s="291"/>
      <c r="B825" s="292" t="str">
        <f>IF(LEN(A825)=0,"",INDEX('Smelter Reference List'!$A:$A,MATCH($A825,'Smelter Reference List'!$E:$E,0)))</f>
        <v/>
      </c>
      <c r="C825" s="298" t="str">
        <f>IF(LEN(A825)=0,"",INDEX('Smelter Reference List'!$C:$C,MATCH($A825,'Smelter Reference List'!$E:$E,0)))</f>
        <v/>
      </c>
      <c r="D825" s="292" t="str">
        <f ca="1">IF(ISERROR($S825),"",OFFSET('Smelter Reference List'!$C$4,$S825-4,0)&amp;"")</f>
        <v/>
      </c>
      <c r="E825" s="292" t="str">
        <f ca="1">IF(ISERROR($S825),"",OFFSET('Smelter Reference List'!$D$4,$S825-4,0)&amp;"")</f>
        <v/>
      </c>
      <c r="F825" s="292" t="str">
        <f ca="1">IF(ISERROR($S825),"",OFFSET('Smelter Reference List'!$E$4,$S825-4,0))</f>
        <v/>
      </c>
      <c r="G825" s="292" t="str">
        <f ca="1">IF(C825=$U$4,"Enter smelter details", IF(ISERROR($S825),"",OFFSET('Smelter Reference List'!$F$4,$S825-4,0)))</f>
        <v/>
      </c>
      <c r="H825" s="293" t="str">
        <f ca="1">IF(ISERROR($S825),"",OFFSET('Smelter Reference List'!$G$4,$S825-4,0))</f>
        <v/>
      </c>
      <c r="I825" s="294" t="str">
        <f ca="1">IF(ISERROR($S825),"",OFFSET('Smelter Reference List'!$H$4,$S825-4,0))</f>
        <v/>
      </c>
      <c r="J825" s="294" t="str">
        <f ca="1">IF(ISERROR($S825),"",OFFSET('Smelter Reference List'!$I$4,$S825-4,0))</f>
        <v/>
      </c>
      <c r="K825" s="295"/>
      <c r="L825" s="295"/>
      <c r="M825" s="295"/>
      <c r="N825" s="295"/>
      <c r="O825" s="295"/>
      <c r="P825" s="295"/>
      <c r="Q825" s="296"/>
      <c r="R825" s="227"/>
      <c r="S825" s="228" t="e">
        <f>IF(C825="",NA(),MATCH($B825&amp;$C825,'Smelter Reference List'!$J:$J,0))</f>
        <v>#N/A</v>
      </c>
      <c r="T825" s="229"/>
      <c r="U825" s="229">
        <f t="shared" ca="1" si="26"/>
        <v>0</v>
      </c>
      <c r="V825" s="229"/>
      <c r="W825" s="229"/>
      <c r="Y825" s="223" t="str">
        <f t="shared" si="27"/>
        <v/>
      </c>
    </row>
    <row r="826" spans="1:25" s="223" customFormat="1" ht="20.25">
      <c r="A826" s="291"/>
      <c r="B826" s="292" t="str">
        <f>IF(LEN(A826)=0,"",INDEX('Smelter Reference List'!$A:$A,MATCH($A826,'Smelter Reference List'!$E:$E,0)))</f>
        <v/>
      </c>
      <c r="C826" s="298" t="str">
        <f>IF(LEN(A826)=0,"",INDEX('Smelter Reference List'!$C:$C,MATCH($A826,'Smelter Reference List'!$E:$E,0)))</f>
        <v/>
      </c>
      <c r="D826" s="292" t="str">
        <f ca="1">IF(ISERROR($S826),"",OFFSET('Smelter Reference List'!$C$4,$S826-4,0)&amp;"")</f>
        <v/>
      </c>
      <c r="E826" s="292" t="str">
        <f ca="1">IF(ISERROR($S826),"",OFFSET('Smelter Reference List'!$D$4,$S826-4,0)&amp;"")</f>
        <v/>
      </c>
      <c r="F826" s="292" t="str">
        <f ca="1">IF(ISERROR($S826),"",OFFSET('Smelter Reference List'!$E$4,$S826-4,0))</f>
        <v/>
      </c>
      <c r="G826" s="292" t="str">
        <f ca="1">IF(C826=$U$4,"Enter smelter details", IF(ISERROR($S826),"",OFFSET('Smelter Reference List'!$F$4,$S826-4,0)))</f>
        <v/>
      </c>
      <c r="H826" s="293" t="str">
        <f ca="1">IF(ISERROR($S826),"",OFFSET('Smelter Reference List'!$G$4,$S826-4,0))</f>
        <v/>
      </c>
      <c r="I826" s="294" t="str">
        <f ca="1">IF(ISERROR($S826),"",OFFSET('Smelter Reference List'!$H$4,$S826-4,0))</f>
        <v/>
      </c>
      <c r="J826" s="294" t="str">
        <f ca="1">IF(ISERROR($S826),"",OFFSET('Smelter Reference List'!$I$4,$S826-4,0))</f>
        <v/>
      </c>
      <c r="K826" s="295"/>
      <c r="L826" s="295"/>
      <c r="M826" s="295"/>
      <c r="N826" s="295"/>
      <c r="O826" s="295"/>
      <c r="P826" s="295"/>
      <c r="Q826" s="296"/>
      <c r="R826" s="227"/>
      <c r="S826" s="228" t="e">
        <f>IF(C826="",NA(),MATCH($B826&amp;$C826,'Smelter Reference List'!$J:$J,0))</f>
        <v>#N/A</v>
      </c>
      <c r="T826" s="229"/>
      <c r="U826" s="229">
        <f t="shared" ca="1" si="26"/>
        <v>0</v>
      </c>
      <c r="V826" s="229"/>
      <c r="W826" s="229"/>
      <c r="Y826" s="223" t="str">
        <f t="shared" si="27"/>
        <v/>
      </c>
    </row>
    <row r="827" spans="1:25" s="223" customFormat="1" ht="20.25">
      <c r="A827" s="291"/>
      <c r="B827" s="292" t="str">
        <f>IF(LEN(A827)=0,"",INDEX('Smelter Reference List'!$A:$A,MATCH($A827,'Smelter Reference List'!$E:$E,0)))</f>
        <v/>
      </c>
      <c r="C827" s="298" t="str">
        <f>IF(LEN(A827)=0,"",INDEX('Smelter Reference List'!$C:$C,MATCH($A827,'Smelter Reference List'!$E:$E,0)))</f>
        <v/>
      </c>
      <c r="D827" s="292" t="str">
        <f ca="1">IF(ISERROR($S827),"",OFFSET('Smelter Reference List'!$C$4,$S827-4,0)&amp;"")</f>
        <v/>
      </c>
      <c r="E827" s="292" t="str">
        <f ca="1">IF(ISERROR($S827),"",OFFSET('Smelter Reference List'!$D$4,$S827-4,0)&amp;"")</f>
        <v/>
      </c>
      <c r="F827" s="292" t="str">
        <f ca="1">IF(ISERROR($S827),"",OFFSET('Smelter Reference List'!$E$4,$S827-4,0))</f>
        <v/>
      </c>
      <c r="G827" s="292" t="str">
        <f ca="1">IF(C827=$U$4,"Enter smelter details", IF(ISERROR($S827),"",OFFSET('Smelter Reference List'!$F$4,$S827-4,0)))</f>
        <v/>
      </c>
      <c r="H827" s="293" t="str">
        <f ca="1">IF(ISERROR($S827),"",OFFSET('Smelter Reference List'!$G$4,$S827-4,0))</f>
        <v/>
      </c>
      <c r="I827" s="294" t="str">
        <f ca="1">IF(ISERROR($S827),"",OFFSET('Smelter Reference List'!$H$4,$S827-4,0))</f>
        <v/>
      </c>
      <c r="J827" s="294" t="str">
        <f ca="1">IF(ISERROR($S827),"",OFFSET('Smelter Reference List'!$I$4,$S827-4,0))</f>
        <v/>
      </c>
      <c r="K827" s="295"/>
      <c r="L827" s="295"/>
      <c r="M827" s="295"/>
      <c r="N827" s="295"/>
      <c r="O827" s="295"/>
      <c r="P827" s="295"/>
      <c r="Q827" s="296"/>
      <c r="R827" s="227"/>
      <c r="S827" s="228" t="e">
        <f>IF(C827="",NA(),MATCH($B827&amp;$C827,'Smelter Reference List'!$J:$J,0))</f>
        <v>#N/A</v>
      </c>
      <c r="T827" s="229"/>
      <c r="U827" s="229">
        <f t="shared" ca="1" si="26"/>
        <v>0</v>
      </c>
      <c r="V827" s="229"/>
      <c r="W827" s="229"/>
      <c r="Y827" s="223" t="str">
        <f t="shared" si="27"/>
        <v/>
      </c>
    </row>
    <row r="828" spans="1:25" s="223" customFormat="1" ht="20.25">
      <c r="A828" s="291"/>
      <c r="B828" s="292" t="str">
        <f>IF(LEN(A828)=0,"",INDEX('Smelter Reference List'!$A:$A,MATCH($A828,'Smelter Reference List'!$E:$E,0)))</f>
        <v/>
      </c>
      <c r="C828" s="298" t="str">
        <f>IF(LEN(A828)=0,"",INDEX('Smelter Reference List'!$C:$C,MATCH($A828,'Smelter Reference List'!$E:$E,0)))</f>
        <v/>
      </c>
      <c r="D828" s="292" t="str">
        <f ca="1">IF(ISERROR($S828),"",OFFSET('Smelter Reference List'!$C$4,$S828-4,0)&amp;"")</f>
        <v/>
      </c>
      <c r="E828" s="292" t="str">
        <f ca="1">IF(ISERROR($S828),"",OFFSET('Smelter Reference List'!$D$4,$S828-4,0)&amp;"")</f>
        <v/>
      </c>
      <c r="F828" s="292" t="str">
        <f ca="1">IF(ISERROR($S828),"",OFFSET('Smelter Reference List'!$E$4,$S828-4,0))</f>
        <v/>
      </c>
      <c r="G828" s="292" t="str">
        <f ca="1">IF(C828=$U$4,"Enter smelter details", IF(ISERROR($S828),"",OFFSET('Smelter Reference List'!$F$4,$S828-4,0)))</f>
        <v/>
      </c>
      <c r="H828" s="293" t="str">
        <f ca="1">IF(ISERROR($S828),"",OFFSET('Smelter Reference List'!$G$4,$S828-4,0))</f>
        <v/>
      </c>
      <c r="I828" s="294" t="str">
        <f ca="1">IF(ISERROR($S828),"",OFFSET('Smelter Reference List'!$H$4,$S828-4,0))</f>
        <v/>
      </c>
      <c r="J828" s="294" t="str">
        <f ca="1">IF(ISERROR($S828),"",OFFSET('Smelter Reference List'!$I$4,$S828-4,0))</f>
        <v/>
      </c>
      <c r="K828" s="295"/>
      <c r="L828" s="295"/>
      <c r="M828" s="295"/>
      <c r="N828" s="295"/>
      <c r="O828" s="295"/>
      <c r="P828" s="295"/>
      <c r="Q828" s="296"/>
      <c r="R828" s="227"/>
      <c r="S828" s="228" t="e">
        <f>IF(C828="",NA(),MATCH($B828&amp;$C828,'Smelter Reference List'!$J:$J,0))</f>
        <v>#N/A</v>
      </c>
      <c r="T828" s="229"/>
      <c r="U828" s="229">
        <f t="shared" ca="1" si="26"/>
        <v>0</v>
      </c>
      <c r="V828" s="229"/>
      <c r="W828" s="229"/>
      <c r="Y828" s="223" t="str">
        <f t="shared" si="27"/>
        <v/>
      </c>
    </row>
    <row r="829" spans="1:25" s="223" customFormat="1" ht="20.25">
      <c r="A829" s="291"/>
      <c r="B829" s="292" t="str">
        <f>IF(LEN(A829)=0,"",INDEX('Smelter Reference List'!$A:$A,MATCH($A829,'Smelter Reference List'!$E:$E,0)))</f>
        <v/>
      </c>
      <c r="C829" s="298" t="str">
        <f>IF(LEN(A829)=0,"",INDEX('Smelter Reference List'!$C:$C,MATCH($A829,'Smelter Reference List'!$E:$E,0)))</f>
        <v/>
      </c>
      <c r="D829" s="292" t="str">
        <f ca="1">IF(ISERROR($S829),"",OFFSET('Smelter Reference List'!$C$4,$S829-4,0)&amp;"")</f>
        <v/>
      </c>
      <c r="E829" s="292" t="str">
        <f ca="1">IF(ISERROR($S829),"",OFFSET('Smelter Reference List'!$D$4,$S829-4,0)&amp;"")</f>
        <v/>
      </c>
      <c r="F829" s="292" t="str">
        <f ca="1">IF(ISERROR($S829),"",OFFSET('Smelter Reference List'!$E$4,$S829-4,0))</f>
        <v/>
      </c>
      <c r="G829" s="292" t="str">
        <f ca="1">IF(C829=$U$4,"Enter smelter details", IF(ISERROR($S829),"",OFFSET('Smelter Reference List'!$F$4,$S829-4,0)))</f>
        <v/>
      </c>
      <c r="H829" s="293" t="str">
        <f ca="1">IF(ISERROR($S829),"",OFFSET('Smelter Reference List'!$G$4,$S829-4,0))</f>
        <v/>
      </c>
      <c r="I829" s="294" t="str">
        <f ca="1">IF(ISERROR($S829),"",OFFSET('Smelter Reference List'!$H$4,$S829-4,0))</f>
        <v/>
      </c>
      <c r="J829" s="294" t="str">
        <f ca="1">IF(ISERROR($S829),"",OFFSET('Smelter Reference List'!$I$4,$S829-4,0))</f>
        <v/>
      </c>
      <c r="K829" s="295"/>
      <c r="L829" s="295"/>
      <c r="M829" s="295"/>
      <c r="N829" s="295"/>
      <c r="O829" s="295"/>
      <c r="P829" s="295"/>
      <c r="Q829" s="296"/>
      <c r="R829" s="227"/>
      <c r="S829" s="228" t="e">
        <f>IF(C829="",NA(),MATCH($B829&amp;$C829,'Smelter Reference List'!$J:$J,0))</f>
        <v>#N/A</v>
      </c>
      <c r="T829" s="229"/>
      <c r="U829" s="229">
        <f t="shared" ca="1" si="26"/>
        <v>0</v>
      </c>
      <c r="V829" s="229"/>
      <c r="W829" s="229"/>
      <c r="Y829" s="223" t="str">
        <f t="shared" si="27"/>
        <v/>
      </c>
    </row>
    <row r="830" spans="1:25" s="223" customFormat="1" ht="20.25">
      <c r="A830" s="291"/>
      <c r="B830" s="292" t="str">
        <f>IF(LEN(A830)=0,"",INDEX('Smelter Reference List'!$A:$A,MATCH($A830,'Smelter Reference List'!$E:$E,0)))</f>
        <v/>
      </c>
      <c r="C830" s="298" t="str">
        <f>IF(LEN(A830)=0,"",INDEX('Smelter Reference List'!$C:$C,MATCH($A830,'Smelter Reference List'!$E:$E,0)))</f>
        <v/>
      </c>
      <c r="D830" s="292" t="str">
        <f ca="1">IF(ISERROR($S830),"",OFFSET('Smelter Reference List'!$C$4,$S830-4,0)&amp;"")</f>
        <v/>
      </c>
      <c r="E830" s="292" t="str">
        <f ca="1">IF(ISERROR($S830),"",OFFSET('Smelter Reference List'!$D$4,$S830-4,0)&amp;"")</f>
        <v/>
      </c>
      <c r="F830" s="292" t="str">
        <f ca="1">IF(ISERROR($S830),"",OFFSET('Smelter Reference List'!$E$4,$S830-4,0))</f>
        <v/>
      </c>
      <c r="G830" s="292" t="str">
        <f ca="1">IF(C830=$U$4,"Enter smelter details", IF(ISERROR($S830),"",OFFSET('Smelter Reference List'!$F$4,$S830-4,0)))</f>
        <v/>
      </c>
      <c r="H830" s="293" t="str">
        <f ca="1">IF(ISERROR($S830),"",OFFSET('Smelter Reference List'!$G$4,$S830-4,0))</f>
        <v/>
      </c>
      <c r="I830" s="294" t="str">
        <f ca="1">IF(ISERROR($S830),"",OFFSET('Smelter Reference List'!$H$4,$S830-4,0))</f>
        <v/>
      </c>
      <c r="J830" s="294" t="str">
        <f ca="1">IF(ISERROR($S830),"",OFFSET('Smelter Reference List'!$I$4,$S830-4,0))</f>
        <v/>
      </c>
      <c r="K830" s="295"/>
      <c r="L830" s="295"/>
      <c r="M830" s="295"/>
      <c r="N830" s="295"/>
      <c r="O830" s="295"/>
      <c r="P830" s="295"/>
      <c r="Q830" s="296"/>
      <c r="R830" s="227"/>
      <c r="S830" s="228" t="e">
        <f>IF(C830="",NA(),MATCH($B830&amp;$C830,'Smelter Reference List'!$J:$J,0))</f>
        <v>#N/A</v>
      </c>
      <c r="T830" s="229"/>
      <c r="U830" s="229">
        <f t="shared" ca="1" si="26"/>
        <v>0</v>
      </c>
      <c r="V830" s="229"/>
      <c r="W830" s="229"/>
      <c r="Y830" s="223" t="str">
        <f t="shared" si="27"/>
        <v/>
      </c>
    </row>
    <row r="831" spans="1:25" s="223" customFormat="1" ht="20.25">
      <c r="A831" s="291"/>
      <c r="B831" s="292" t="str">
        <f>IF(LEN(A831)=0,"",INDEX('Smelter Reference List'!$A:$A,MATCH($A831,'Smelter Reference List'!$E:$E,0)))</f>
        <v/>
      </c>
      <c r="C831" s="298" t="str">
        <f>IF(LEN(A831)=0,"",INDEX('Smelter Reference List'!$C:$C,MATCH($A831,'Smelter Reference List'!$E:$E,0)))</f>
        <v/>
      </c>
      <c r="D831" s="292" t="str">
        <f ca="1">IF(ISERROR($S831),"",OFFSET('Smelter Reference List'!$C$4,$S831-4,0)&amp;"")</f>
        <v/>
      </c>
      <c r="E831" s="292" t="str">
        <f ca="1">IF(ISERROR($S831),"",OFFSET('Smelter Reference List'!$D$4,$S831-4,0)&amp;"")</f>
        <v/>
      </c>
      <c r="F831" s="292" t="str">
        <f ca="1">IF(ISERROR($S831),"",OFFSET('Smelter Reference List'!$E$4,$S831-4,0))</f>
        <v/>
      </c>
      <c r="G831" s="292" t="str">
        <f ca="1">IF(C831=$U$4,"Enter smelter details", IF(ISERROR($S831),"",OFFSET('Smelter Reference List'!$F$4,$S831-4,0)))</f>
        <v/>
      </c>
      <c r="H831" s="293" t="str">
        <f ca="1">IF(ISERROR($S831),"",OFFSET('Smelter Reference List'!$G$4,$S831-4,0))</f>
        <v/>
      </c>
      <c r="I831" s="294" t="str">
        <f ca="1">IF(ISERROR($S831),"",OFFSET('Smelter Reference List'!$H$4,$S831-4,0))</f>
        <v/>
      </c>
      <c r="J831" s="294" t="str">
        <f ca="1">IF(ISERROR($S831),"",OFFSET('Smelter Reference List'!$I$4,$S831-4,0))</f>
        <v/>
      </c>
      <c r="K831" s="295"/>
      <c r="L831" s="295"/>
      <c r="M831" s="295"/>
      <c r="N831" s="295"/>
      <c r="O831" s="295"/>
      <c r="P831" s="295"/>
      <c r="Q831" s="296"/>
      <c r="R831" s="227"/>
      <c r="S831" s="228" t="e">
        <f>IF(C831="",NA(),MATCH($B831&amp;$C831,'Smelter Reference List'!$J:$J,0))</f>
        <v>#N/A</v>
      </c>
      <c r="T831" s="229"/>
      <c r="U831" s="229">
        <f t="shared" ca="1" si="26"/>
        <v>0</v>
      </c>
      <c r="V831" s="229"/>
      <c r="W831" s="229"/>
      <c r="Y831" s="223" t="str">
        <f t="shared" si="27"/>
        <v/>
      </c>
    </row>
    <row r="832" spans="1:25" s="223" customFormat="1" ht="20.25">
      <c r="A832" s="291"/>
      <c r="B832" s="292" t="str">
        <f>IF(LEN(A832)=0,"",INDEX('Smelter Reference List'!$A:$A,MATCH($A832,'Smelter Reference List'!$E:$E,0)))</f>
        <v/>
      </c>
      <c r="C832" s="298" t="str">
        <f>IF(LEN(A832)=0,"",INDEX('Smelter Reference List'!$C:$C,MATCH($A832,'Smelter Reference List'!$E:$E,0)))</f>
        <v/>
      </c>
      <c r="D832" s="292" t="str">
        <f ca="1">IF(ISERROR($S832),"",OFFSET('Smelter Reference List'!$C$4,$S832-4,0)&amp;"")</f>
        <v/>
      </c>
      <c r="E832" s="292" t="str">
        <f ca="1">IF(ISERROR($S832),"",OFFSET('Smelter Reference List'!$D$4,$S832-4,0)&amp;"")</f>
        <v/>
      </c>
      <c r="F832" s="292" t="str">
        <f ca="1">IF(ISERROR($S832),"",OFFSET('Smelter Reference List'!$E$4,$S832-4,0))</f>
        <v/>
      </c>
      <c r="G832" s="292" t="str">
        <f ca="1">IF(C832=$U$4,"Enter smelter details", IF(ISERROR($S832),"",OFFSET('Smelter Reference List'!$F$4,$S832-4,0)))</f>
        <v/>
      </c>
      <c r="H832" s="293" t="str">
        <f ca="1">IF(ISERROR($S832),"",OFFSET('Smelter Reference List'!$G$4,$S832-4,0))</f>
        <v/>
      </c>
      <c r="I832" s="294" t="str">
        <f ca="1">IF(ISERROR($S832),"",OFFSET('Smelter Reference List'!$H$4,$S832-4,0))</f>
        <v/>
      </c>
      <c r="J832" s="294" t="str">
        <f ca="1">IF(ISERROR($S832),"",OFFSET('Smelter Reference List'!$I$4,$S832-4,0))</f>
        <v/>
      </c>
      <c r="K832" s="295"/>
      <c r="L832" s="295"/>
      <c r="M832" s="295"/>
      <c r="N832" s="295"/>
      <c r="O832" s="295"/>
      <c r="P832" s="295"/>
      <c r="Q832" s="296"/>
      <c r="R832" s="227"/>
      <c r="S832" s="228" t="e">
        <f>IF(C832="",NA(),MATCH($B832&amp;$C832,'Smelter Reference List'!$J:$J,0))</f>
        <v>#N/A</v>
      </c>
      <c r="T832" s="229"/>
      <c r="U832" s="229">
        <f t="shared" ca="1" si="26"/>
        <v>0</v>
      </c>
      <c r="V832" s="229"/>
      <c r="W832" s="229"/>
      <c r="Y832" s="223" t="str">
        <f t="shared" si="27"/>
        <v/>
      </c>
    </row>
    <row r="833" spans="1:25" s="223" customFormat="1" ht="20.25">
      <c r="A833" s="291"/>
      <c r="B833" s="292" t="str">
        <f>IF(LEN(A833)=0,"",INDEX('Smelter Reference List'!$A:$A,MATCH($A833,'Smelter Reference List'!$E:$E,0)))</f>
        <v/>
      </c>
      <c r="C833" s="298" t="str">
        <f>IF(LEN(A833)=0,"",INDEX('Smelter Reference List'!$C:$C,MATCH($A833,'Smelter Reference List'!$E:$E,0)))</f>
        <v/>
      </c>
      <c r="D833" s="292" t="str">
        <f ca="1">IF(ISERROR($S833),"",OFFSET('Smelter Reference List'!$C$4,$S833-4,0)&amp;"")</f>
        <v/>
      </c>
      <c r="E833" s="292" t="str">
        <f ca="1">IF(ISERROR($S833),"",OFFSET('Smelter Reference List'!$D$4,$S833-4,0)&amp;"")</f>
        <v/>
      </c>
      <c r="F833" s="292" t="str">
        <f ca="1">IF(ISERROR($S833),"",OFFSET('Smelter Reference List'!$E$4,$S833-4,0))</f>
        <v/>
      </c>
      <c r="G833" s="292" t="str">
        <f ca="1">IF(C833=$U$4,"Enter smelter details", IF(ISERROR($S833),"",OFFSET('Smelter Reference List'!$F$4,$S833-4,0)))</f>
        <v/>
      </c>
      <c r="H833" s="293" t="str">
        <f ca="1">IF(ISERROR($S833),"",OFFSET('Smelter Reference List'!$G$4,$S833-4,0))</f>
        <v/>
      </c>
      <c r="I833" s="294" t="str">
        <f ca="1">IF(ISERROR($S833),"",OFFSET('Smelter Reference List'!$H$4,$S833-4,0))</f>
        <v/>
      </c>
      <c r="J833" s="294" t="str">
        <f ca="1">IF(ISERROR($S833),"",OFFSET('Smelter Reference List'!$I$4,$S833-4,0))</f>
        <v/>
      </c>
      <c r="K833" s="295"/>
      <c r="L833" s="295"/>
      <c r="M833" s="295"/>
      <c r="N833" s="295"/>
      <c r="O833" s="295"/>
      <c r="P833" s="295"/>
      <c r="Q833" s="296"/>
      <c r="R833" s="227"/>
      <c r="S833" s="228" t="e">
        <f>IF(C833="",NA(),MATCH($B833&amp;$C833,'Smelter Reference List'!$J:$J,0))</f>
        <v>#N/A</v>
      </c>
      <c r="T833" s="229"/>
      <c r="U833" s="229">
        <f t="shared" ca="1" si="26"/>
        <v>0</v>
      </c>
      <c r="V833" s="229"/>
      <c r="W833" s="229"/>
      <c r="Y833" s="223" t="str">
        <f t="shared" si="27"/>
        <v/>
      </c>
    </row>
    <row r="834" spans="1:25" s="223" customFormat="1" ht="20.25">
      <c r="A834" s="291"/>
      <c r="B834" s="292" t="str">
        <f>IF(LEN(A834)=0,"",INDEX('Smelter Reference List'!$A:$A,MATCH($A834,'Smelter Reference List'!$E:$E,0)))</f>
        <v/>
      </c>
      <c r="C834" s="298" t="str">
        <f>IF(LEN(A834)=0,"",INDEX('Smelter Reference List'!$C:$C,MATCH($A834,'Smelter Reference List'!$E:$E,0)))</f>
        <v/>
      </c>
      <c r="D834" s="292" t="str">
        <f ca="1">IF(ISERROR($S834),"",OFFSET('Smelter Reference List'!$C$4,$S834-4,0)&amp;"")</f>
        <v/>
      </c>
      <c r="E834" s="292" t="str">
        <f ca="1">IF(ISERROR($S834),"",OFFSET('Smelter Reference List'!$D$4,$S834-4,0)&amp;"")</f>
        <v/>
      </c>
      <c r="F834" s="292" t="str">
        <f ca="1">IF(ISERROR($S834),"",OFFSET('Smelter Reference List'!$E$4,$S834-4,0))</f>
        <v/>
      </c>
      <c r="G834" s="292" t="str">
        <f ca="1">IF(C834=$U$4,"Enter smelter details", IF(ISERROR($S834),"",OFFSET('Smelter Reference List'!$F$4,$S834-4,0)))</f>
        <v/>
      </c>
      <c r="H834" s="293" t="str">
        <f ca="1">IF(ISERROR($S834),"",OFFSET('Smelter Reference List'!$G$4,$S834-4,0))</f>
        <v/>
      </c>
      <c r="I834" s="294" t="str">
        <f ca="1">IF(ISERROR($S834),"",OFFSET('Smelter Reference List'!$H$4,$S834-4,0))</f>
        <v/>
      </c>
      <c r="J834" s="294" t="str">
        <f ca="1">IF(ISERROR($S834),"",OFFSET('Smelter Reference List'!$I$4,$S834-4,0))</f>
        <v/>
      </c>
      <c r="K834" s="295"/>
      <c r="L834" s="295"/>
      <c r="M834" s="295"/>
      <c r="N834" s="295"/>
      <c r="O834" s="295"/>
      <c r="P834" s="295"/>
      <c r="Q834" s="296"/>
      <c r="R834" s="227"/>
      <c r="S834" s="228" t="e">
        <f>IF(C834="",NA(),MATCH($B834&amp;$C834,'Smelter Reference List'!$J:$J,0))</f>
        <v>#N/A</v>
      </c>
      <c r="T834" s="229"/>
      <c r="U834" s="229">
        <f t="shared" ca="1" si="26"/>
        <v>0</v>
      </c>
      <c r="V834" s="229"/>
      <c r="W834" s="229"/>
      <c r="Y834" s="223" t="str">
        <f t="shared" si="27"/>
        <v/>
      </c>
    </row>
    <row r="835" spans="1:25" s="223" customFormat="1" ht="20.25">
      <c r="A835" s="291"/>
      <c r="B835" s="292" t="str">
        <f>IF(LEN(A835)=0,"",INDEX('Smelter Reference List'!$A:$A,MATCH($A835,'Smelter Reference List'!$E:$E,0)))</f>
        <v/>
      </c>
      <c r="C835" s="298" t="str">
        <f>IF(LEN(A835)=0,"",INDEX('Smelter Reference List'!$C:$C,MATCH($A835,'Smelter Reference List'!$E:$E,0)))</f>
        <v/>
      </c>
      <c r="D835" s="292" t="str">
        <f ca="1">IF(ISERROR($S835),"",OFFSET('Smelter Reference List'!$C$4,$S835-4,0)&amp;"")</f>
        <v/>
      </c>
      <c r="E835" s="292" t="str">
        <f ca="1">IF(ISERROR($S835),"",OFFSET('Smelter Reference List'!$D$4,$S835-4,0)&amp;"")</f>
        <v/>
      </c>
      <c r="F835" s="292" t="str">
        <f ca="1">IF(ISERROR($S835),"",OFFSET('Smelter Reference List'!$E$4,$S835-4,0))</f>
        <v/>
      </c>
      <c r="G835" s="292" t="str">
        <f ca="1">IF(C835=$U$4,"Enter smelter details", IF(ISERROR($S835),"",OFFSET('Smelter Reference List'!$F$4,$S835-4,0)))</f>
        <v/>
      </c>
      <c r="H835" s="293" t="str">
        <f ca="1">IF(ISERROR($S835),"",OFFSET('Smelter Reference List'!$G$4,$S835-4,0))</f>
        <v/>
      </c>
      <c r="I835" s="294" t="str">
        <f ca="1">IF(ISERROR($S835),"",OFFSET('Smelter Reference List'!$H$4,$S835-4,0))</f>
        <v/>
      </c>
      <c r="J835" s="294" t="str">
        <f ca="1">IF(ISERROR($S835),"",OFFSET('Smelter Reference List'!$I$4,$S835-4,0))</f>
        <v/>
      </c>
      <c r="K835" s="295"/>
      <c r="L835" s="295"/>
      <c r="M835" s="295"/>
      <c r="N835" s="295"/>
      <c r="O835" s="295"/>
      <c r="P835" s="295"/>
      <c r="Q835" s="296"/>
      <c r="R835" s="227"/>
      <c r="S835" s="228" t="e">
        <f>IF(C835="",NA(),MATCH($B835&amp;$C835,'Smelter Reference List'!$J:$J,0))</f>
        <v>#N/A</v>
      </c>
      <c r="T835" s="229"/>
      <c r="U835" s="229">
        <f t="shared" ca="1" si="26"/>
        <v>0</v>
      </c>
      <c r="V835" s="229"/>
      <c r="W835" s="229"/>
      <c r="Y835" s="223" t="str">
        <f t="shared" si="27"/>
        <v/>
      </c>
    </row>
    <row r="836" spans="1:25" s="223" customFormat="1" ht="20.25">
      <c r="A836" s="291"/>
      <c r="B836" s="292" t="str">
        <f>IF(LEN(A836)=0,"",INDEX('Smelter Reference List'!$A:$A,MATCH($A836,'Smelter Reference List'!$E:$E,0)))</f>
        <v/>
      </c>
      <c r="C836" s="298" t="str">
        <f>IF(LEN(A836)=0,"",INDEX('Smelter Reference List'!$C:$C,MATCH($A836,'Smelter Reference List'!$E:$E,0)))</f>
        <v/>
      </c>
      <c r="D836" s="292" t="str">
        <f ca="1">IF(ISERROR($S836),"",OFFSET('Smelter Reference List'!$C$4,$S836-4,0)&amp;"")</f>
        <v/>
      </c>
      <c r="E836" s="292" t="str">
        <f ca="1">IF(ISERROR($S836),"",OFFSET('Smelter Reference List'!$D$4,$S836-4,0)&amp;"")</f>
        <v/>
      </c>
      <c r="F836" s="292" t="str">
        <f ca="1">IF(ISERROR($S836),"",OFFSET('Smelter Reference List'!$E$4,$S836-4,0))</f>
        <v/>
      </c>
      <c r="G836" s="292" t="str">
        <f ca="1">IF(C836=$U$4,"Enter smelter details", IF(ISERROR($S836),"",OFFSET('Smelter Reference List'!$F$4,$S836-4,0)))</f>
        <v/>
      </c>
      <c r="H836" s="293" t="str">
        <f ca="1">IF(ISERROR($S836),"",OFFSET('Smelter Reference List'!$G$4,$S836-4,0))</f>
        <v/>
      </c>
      <c r="I836" s="294" t="str">
        <f ca="1">IF(ISERROR($S836),"",OFFSET('Smelter Reference List'!$H$4,$S836-4,0))</f>
        <v/>
      </c>
      <c r="J836" s="294" t="str">
        <f ca="1">IF(ISERROR($S836),"",OFFSET('Smelter Reference List'!$I$4,$S836-4,0))</f>
        <v/>
      </c>
      <c r="K836" s="295"/>
      <c r="L836" s="295"/>
      <c r="M836" s="295"/>
      <c r="N836" s="295"/>
      <c r="O836" s="295"/>
      <c r="P836" s="295"/>
      <c r="Q836" s="296"/>
      <c r="R836" s="227"/>
      <c r="S836" s="228" t="e">
        <f>IF(C836="",NA(),MATCH($B836&amp;$C836,'Smelter Reference List'!$J:$J,0))</f>
        <v>#N/A</v>
      </c>
      <c r="T836" s="229"/>
      <c r="U836" s="229">
        <f t="shared" ca="1" si="26"/>
        <v>0</v>
      </c>
      <c r="V836" s="229"/>
      <c r="W836" s="229"/>
      <c r="Y836" s="223" t="str">
        <f t="shared" si="27"/>
        <v/>
      </c>
    </row>
    <row r="837" spans="1:25" s="223" customFormat="1" ht="20.25">
      <c r="A837" s="291"/>
      <c r="B837" s="292" t="str">
        <f>IF(LEN(A837)=0,"",INDEX('Smelter Reference List'!$A:$A,MATCH($A837,'Smelter Reference List'!$E:$E,0)))</f>
        <v/>
      </c>
      <c r="C837" s="298" t="str">
        <f>IF(LEN(A837)=0,"",INDEX('Smelter Reference List'!$C:$C,MATCH($A837,'Smelter Reference List'!$E:$E,0)))</f>
        <v/>
      </c>
      <c r="D837" s="292" t="str">
        <f ca="1">IF(ISERROR($S837),"",OFFSET('Smelter Reference List'!$C$4,$S837-4,0)&amp;"")</f>
        <v/>
      </c>
      <c r="E837" s="292" t="str">
        <f ca="1">IF(ISERROR($S837),"",OFFSET('Smelter Reference List'!$D$4,$S837-4,0)&amp;"")</f>
        <v/>
      </c>
      <c r="F837" s="292" t="str">
        <f ca="1">IF(ISERROR($S837),"",OFFSET('Smelter Reference List'!$E$4,$S837-4,0))</f>
        <v/>
      </c>
      <c r="G837" s="292" t="str">
        <f ca="1">IF(C837=$U$4,"Enter smelter details", IF(ISERROR($S837),"",OFFSET('Smelter Reference List'!$F$4,$S837-4,0)))</f>
        <v/>
      </c>
      <c r="H837" s="293" t="str">
        <f ca="1">IF(ISERROR($S837),"",OFFSET('Smelter Reference List'!$G$4,$S837-4,0))</f>
        <v/>
      </c>
      <c r="I837" s="294" t="str">
        <f ca="1">IF(ISERROR($S837),"",OFFSET('Smelter Reference List'!$H$4,$S837-4,0))</f>
        <v/>
      </c>
      <c r="J837" s="294" t="str">
        <f ca="1">IF(ISERROR($S837),"",OFFSET('Smelter Reference List'!$I$4,$S837-4,0))</f>
        <v/>
      </c>
      <c r="K837" s="295"/>
      <c r="L837" s="295"/>
      <c r="M837" s="295"/>
      <c r="N837" s="295"/>
      <c r="O837" s="295"/>
      <c r="P837" s="295"/>
      <c r="Q837" s="296"/>
      <c r="R837" s="227"/>
      <c r="S837" s="228" t="e">
        <f>IF(C837="",NA(),MATCH($B837&amp;$C837,'Smelter Reference List'!$J:$J,0))</f>
        <v>#N/A</v>
      </c>
      <c r="T837" s="229"/>
      <c r="U837" s="229">
        <f t="shared" ref="U837:U900" ca="1" si="28">IF(AND(C837="Smelter not listed",OR(LEN(D837)=0,LEN(E837)=0)),1,0)</f>
        <v>0</v>
      </c>
      <c r="V837" s="229"/>
      <c r="W837" s="229"/>
      <c r="Y837" s="223" t="str">
        <f t="shared" ref="Y837:Y900" si="29">B837&amp;C837</f>
        <v/>
      </c>
    </row>
    <row r="838" spans="1:25" s="223" customFormat="1" ht="20.25">
      <c r="A838" s="291"/>
      <c r="B838" s="292" t="str">
        <f>IF(LEN(A838)=0,"",INDEX('Smelter Reference List'!$A:$A,MATCH($A838,'Smelter Reference List'!$E:$E,0)))</f>
        <v/>
      </c>
      <c r="C838" s="298" t="str">
        <f>IF(LEN(A838)=0,"",INDEX('Smelter Reference List'!$C:$C,MATCH($A838,'Smelter Reference List'!$E:$E,0)))</f>
        <v/>
      </c>
      <c r="D838" s="292" t="str">
        <f ca="1">IF(ISERROR($S838),"",OFFSET('Smelter Reference List'!$C$4,$S838-4,0)&amp;"")</f>
        <v/>
      </c>
      <c r="E838" s="292" t="str">
        <f ca="1">IF(ISERROR($S838),"",OFFSET('Smelter Reference List'!$D$4,$S838-4,0)&amp;"")</f>
        <v/>
      </c>
      <c r="F838" s="292" t="str">
        <f ca="1">IF(ISERROR($S838),"",OFFSET('Smelter Reference List'!$E$4,$S838-4,0))</f>
        <v/>
      </c>
      <c r="G838" s="292" t="str">
        <f ca="1">IF(C838=$U$4,"Enter smelter details", IF(ISERROR($S838),"",OFFSET('Smelter Reference List'!$F$4,$S838-4,0)))</f>
        <v/>
      </c>
      <c r="H838" s="293" t="str">
        <f ca="1">IF(ISERROR($S838),"",OFFSET('Smelter Reference List'!$G$4,$S838-4,0))</f>
        <v/>
      </c>
      <c r="I838" s="294" t="str">
        <f ca="1">IF(ISERROR($S838),"",OFFSET('Smelter Reference List'!$H$4,$S838-4,0))</f>
        <v/>
      </c>
      <c r="J838" s="294" t="str">
        <f ca="1">IF(ISERROR($S838),"",OFFSET('Smelter Reference List'!$I$4,$S838-4,0))</f>
        <v/>
      </c>
      <c r="K838" s="295"/>
      <c r="L838" s="295"/>
      <c r="M838" s="295"/>
      <c r="N838" s="295"/>
      <c r="O838" s="295"/>
      <c r="P838" s="295"/>
      <c r="Q838" s="296"/>
      <c r="R838" s="227"/>
      <c r="S838" s="228" t="e">
        <f>IF(C838="",NA(),MATCH($B838&amp;$C838,'Smelter Reference List'!$J:$J,0))</f>
        <v>#N/A</v>
      </c>
      <c r="T838" s="229"/>
      <c r="U838" s="229">
        <f t="shared" ca="1" si="28"/>
        <v>0</v>
      </c>
      <c r="V838" s="229"/>
      <c r="W838" s="229"/>
      <c r="Y838" s="223" t="str">
        <f t="shared" si="29"/>
        <v/>
      </c>
    </row>
    <row r="839" spans="1:25" s="223" customFormat="1" ht="20.25">
      <c r="A839" s="291"/>
      <c r="B839" s="292" t="str">
        <f>IF(LEN(A839)=0,"",INDEX('Smelter Reference List'!$A:$A,MATCH($A839,'Smelter Reference List'!$E:$E,0)))</f>
        <v/>
      </c>
      <c r="C839" s="298" t="str">
        <f>IF(LEN(A839)=0,"",INDEX('Smelter Reference List'!$C:$C,MATCH($A839,'Smelter Reference List'!$E:$E,0)))</f>
        <v/>
      </c>
      <c r="D839" s="292" t="str">
        <f ca="1">IF(ISERROR($S839),"",OFFSET('Smelter Reference List'!$C$4,$S839-4,0)&amp;"")</f>
        <v/>
      </c>
      <c r="E839" s="292" t="str">
        <f ca="1">IF(ISERROR($S839),"",OFFSET('Smelter Reference List'!$D$4,$S839-4,0)&amp;"")</f>
        <v/>
      </c>
      <c r="F839" s="292" t="str">
        <f ca="1">IF(ISERROR($S839),"",OFFSET('Smelter Reference List'!$E$4,$S839-4,0))</f>
        <v/>
      </c>
      <c r="G839" s="292" t="str">
        <f ca="1">IF(C839=$U$4,"Enter smelter details", IF(ISERROR($S839),"",OFFSET('Smelter Reference List'!$F$4,$S839-4,0)))</f>
        <v/>
      </c>
      <c r="H839" s="293" t="str">
        <f ca="1">IF(ISERROR($S839),"",OFFSET('Smelter Reference List'!$G$4,$S839-4,0))</f>
        <v/>
      </c>
      <c r="I839" s="294" t="str">
        <f ca="1">IF(ISERROR($S839),"",OFFSET('Smelter Reference List'!$H$4,$S839-4,0))</f>
        <v/>
      </c>
      <c r="J839" s="294" t="str">
        <f ca="1">IF(ISERROR($S839),"",OFFSET('Smelter Reference List'!$I$4,$S839-4,0))</f>
        <v/>
      </c>
      <c r="K839" s="295"/>
      <c r="L839" s="295"/>
      <c r="M839" s="295"/>
      <c r="N839" s="295"/>
      <c r="O839" s="295"/>
      <c r="P839" s="295"/>
      <c r="Q839" s="296"/>
      <c r="R839" s="227"/>
      <c r="S839" s="228" t="e">
        <f>IF(C839="",NA(),MATCH($B839&amp;$C839,'Smelter Reference List'!$J:$J,0))</f>
        <v>#N/A</v>
      </c>
      <c r="T839" s="229"/>
      <c r="U839" s="229">
        <f t="shared" ca="1" si="28"/>
        <v>0</v>
      </c>
      <c r="V839" s="229"/>
      <c r="W839" s="229"/>
      <c r="Y839" s="223" t="str">
        <f t="shared" si="29"/>
        <v/>
      </c>
    </row>
    <row r="840" spans="1:25" s="223" customFormat="1" ht="20.25">
      <c r="A840" s="291"/>
      <c r="B840" s="292" t="str">
        <f>IF(LEN(A840)=0,"",INDEX('Smelter Reference List'!$A:$A,MATCH($A840,'Smelter Reference List'!$E:$E,0)))</f>
        <v/>
      </c>
      <c r="C840" s="298" t="str">
        <f>IF(LEN(A840)=0,"",INDEX('Smelter Reference List'!$C:$C,MATCH($A840,'Smelter Reference List'!$E:$E,0)))</f>
        <v/>
      </c>
      <c r="D840" s="292" t="str">
        <f ca="1">IF(ISERROR($S840),"",OFFSET('Smelter Reference List'!$C$4,$S840-4,0)&amp;"")</f>
        <v/>
      </c>
      <c r="E840" s="292" t="str">
        <f ca="1">IF(ISERROR($S840),"",OFFSET('Smelter Reference List'!$D$4,$S840-4,0)&amp;"")</f>
        <v/>
      </c>
      <c r="F840" s="292" t="str">
        <f ca="1">IF(ISERROR($S840),"",OFFSET('Smelter Reference List'!$E$4,$S840-4,0))</f>
        <v/>
      </c>
      <c r="G840" s="292" t="str">
        <f ca="1">IF(C840=$U$4,"Enter smelter details", IF(ISERROR($S840),"",OFFSET('Smelter Reference List'!$F$4,$S840-4,0)))</f>
        <v/>
      </c>
      <c r="H840" s="293" t="str">
        <f ca="1">IF(ISERROR($S840),"",OFFSET('Smelter Reference List'!$G$4,$S840-4,0))</f>
        <v/>
      </c>
      <c r="I840" s="294" t="str">
        <f ca="1">IF(ISERROR($S840),"",OFFSET('Smelter Reference List'!$H$4,$S840-4,0))</f>
        <v/>
      </c>
      <c r="J840" s="294" t="str">
        <f ca="1">IF(ISERROR($S840),"",OFFSET('Smelter Reference List'!$I$4,$S840-4,0))</f>
        <v/>
      </c>
      <c r="K840" s="295"/>
      <c r="L840" s="295"/>
      <c r="M840" s="295"/>
      <c r="N840" s="295"/>
      <c r="O840" s="295"/>
      <c r="P840" s="295"/>
      <c r="Q840" s="296"/>
      <c r="R840" s="227"/>
      <c r="S840" s="228" t="e">
        <f>IF(C840="",NA(),MATCH($B840&amp;$C840,'Smelter Reference List'!$J:$J,0))</f>
        <v>#N/A</v>
      </c>
      <c r="T840" s="229"/>
      <c r="U840" s="229">
        <f t="shared" ca="1" si="28"/>
        <v>0</v>
      </c>
      <c r="V840" s="229"/>
      <c r="W840" s="229"/>
      <c r="Y840" s="223" t="str">
        <f t="shared" si="29"/>
        <v/>
      </c>
    </row>
    <row r="841" spans="1:25" s="223" customFormat="1" ht="20.25">
      <c r="A841" s="291"/>
      <c r="B841" s="292" t="str">
        <f>IF(LEN(A841)=0,"",INDEX('Smelter Reference List'!$A:$A,MATCH($A841,'Smelter Reference List'!$E:$E,0)))</f>
        <v/>
      </c>
      <c r="C841" s="298" t="str">
        <f>IF(LEN(A841)=0,"",INDEX('Smelter Reference List'!$C:$C,MATCH($A841,'Smelter Reference List'!$E:$E,0)))</f>
        <v/>
      </c>
      <c r="D841" s="292" t="str">
        <f ca="1">IF(ISERROR($S841),"",OFFSET('Smelter Reference List'!$C$4,$S841-4,0)&amp;"")</f>
        <v/>
      </c>
      <c r="E841" s="292" t="str">
        <f ca="1">IF(ISERROR($S841),"",OFFSET('Smelter Reference List'!$D$4,$S841-4,0)&amp;"")</f>
        <v/>
      </c>
      <c r="F841" s="292" t="str">
        <f ca="1">IF(ISERROR($S841),"",OFFSET('Smelter Reference List'!$E$4,$S841-4,0))</f>
        <v/>
      </c>
      <c r="G841" s="292" t="str">
        <f ca="1">IF(C841=$U$4,"Enter smelter details", IF(ISERROR($S841),"",OFFSET('Smelter Reference List'!$F$4,$S841-4,0)))</f>
        <v/>
      </c>
      <c r="H841" s="293" t="str">
        <f ca="1">IF(ISERROR($S841),"",OFFSET('Smelter Reference List'!$G$4,$S841-4,0))</f>
        <v/>
      </c>
      <c r="I841" s="294" t="str">
        <f ca="1">IF(ISERROR($S841),"",OFFSET('Smelter Reference List'!$H$4,$S841-4,0))</f>
        <v/>
      </c>
      <c r="J841" s="294" t="str">
        <f ca="1">IF(ISERROR($S841),"",OFFSET('Smelter Reference List'!$I$4,$S841-4,0))</f>
        <v/>
      </c>
      <c r="K841" s="295"/>
      <c r="L841" s="295"/>
      <c r="M841" s="295"/>
      <c r="N841" s="295"/>
      <c r="O841" s="295"/>
      <c r="P841" s="295"/>
      <c r="Q841" s="296"/>
      <c r="R841" s="227"/>
      <c r="S841" s="228" t="e">
        <f>IF(C841="",NA(),MATCH($B841&amp;$C841,'Smelter Reference List'!$J:$J,0))</f>
        <v>#N/A</v>
      </c>
      <c r="T841" s="229"/>
      <c r="U841" s="229">
        <f t="shared" ca="1" si="28"/>
        <v>0</v>
      </c>
      <c r="V841" s="229"/>
      <c r="W841" s="229"/>
      <c r="Y841" s="223" t="str">
        <f t="shared" si="29"/>
        <v/>
      </c>
    </row>
    <row r="842" spans="1:25" s="223" customFormat="1" ht="20.25">
      <c r="A842" s="291"/>
      <c r="B842" s="292" t="str">
        <f>IF(LEN(A842)=0,"",INDEX('Smelter Reference List'!$A:$A,MATCH($A842,'Smelter Reference List'!$E:$E,0)))</f>
        <v/>
      </c>
      <c r="C842" s="298" t="str">
        <f>IF(LEN(A842)=0,"",INDEX('Smelter Reference List'!$C:$C,MATCH($A842,'Smelter Reference List'!$E:$E,0)))</f>
        <v/>
      </c>
      <c r="D842" s="292" t="str">
        <f ca="1">IF(ISERROR($S842),"",OFFSET('Smelter Reference List'!$C$4,$S842-4,0)&amp;"")</f>
        <v/>
      </c>
      <c r="E842" s="292" t="str">
        <f ca="1">IF(ISERROR($S842),"",OFFSET('Smelter Reference List'!$D$4,$S842-4,0)&amp;"")</f>
        <v/>
      </c>
      <c r="F842" s="292" t="str">
        <f ca="1">IF(ISERROR($S842),"",OFFSET('Smelter Reference List'!$E$4,$S842-4,0))</f>
        <v/>
      </c>
      <c r="G842" s="292" t="str">
        <f ca="1">IF(C842=$U$4,"Enter smelter details", IF(ISERROR($S842),"",OFFSET('Smelter Reference List'!$F$4,$S842-4,0)))</f>
        <v/>
      </c>
      <c r="H842" s="293" t="str">
        <f ca="1">IF(ISERROR($S842),"",OFFSET('Smelter Reference List'!$G$4,$S842-4,0))</f>
        <v/>
      </c>
      <c r="I842" s="294" t="str">
        <f ca="1">IF(ISERROR($S842),"",OFFSET('Smelter Reference List'!$H$4,$S842-4,0))</f>
        <v/>
      </c>
      <c r="J842" s="294" t="str">
        <f ca="1">IF(ISERROR($S842),"",OFFSET('Smelter Reference List'!$I$4,$S842-4,0))</f>
        <v/>
      </c>
      <c r="K842" s="295"/>
      <c r="L842" s="295"/>
      <c r="M842" s="295"/>
      <c r="N842" s="295"/>
      <c r="O842" s="295"/>
      <c r="P842" s="295"/>
      <c r="Q842" s="296"/>
      <c r="R842" s="227"/>
      <c r="S842" s="228" t="e">
        <f>IF(C842="",NA(),MATCH($B842&amp;$C842,'Smelter Reference List'!$J:$J,0))</f>
        <v>#N/A</v>
      </c>
      <c r="T842" s="229"/>
      <c r="U842" s="229">
        <f t="shared" ca="1" si="28"/>
        <v>0</v>
      </c>
      <c r="V842" s="229"/>
      <c r="W842" s="229"/>
      <c r="Y842" s="223" t="str">
        <f t="shared" si="29"/>
        <v/>
      </c>
    </row>
    <row r="843" spans="1:25" s="223" customFormat="1" ht="20.25">
      <c r="A843" s="291"/>
      <c r="B843" s="292" t="str">
        <f>IF(LEN(A843)=0,"",INDEX('Smelter Reference List'!$A:$A,MATCH($A843,'Smelter Reference List'!$E:$E,0)))</f>
        <v/>
      </c>
      <c r="C843" s="298" t="str">
        <f>IF(LEN(A843)=0,"",INDEX('Smelter Reference List'!$C:$C,MATCH($A843,'Smelter Reference List'!$E:$E,0)))</f>
        <v/>
      </c>
      <c r="D843" s="292" t="str">
        <f ca="1">IF(ISERROR($S843),"",OFFSET('Smelter Reference List'!$C$4,$S843-4,0)&amp;"")</f>
        <v/>
      </c>
      <c r="E843" s="292" t="str">
        <f ca="1">IF(ISERROR($S843),"",OFFSET('Smelter Reference List'!$D$4,$S843-4,0)&amp;"")</f>
        <v/>
      </c>
      <c r="F843" s="292" t="str">
        <f ca="1">IF(ISERROR($S843),"",OFFSET('Smelter Reference List'!$E$4,$S843-4,0))</f>
        <v/>
      </c>
      <c r="G843" s="292" t="str">
        <f ca="1">IF(C843=$U$4,"Enter smelter details", IF(ISERROR($S843),"",OFFSET('Smelter Reference List'!$F$4,$S843-4,0)))</f>
        <v/>
      </c>
      <c r="H843" s="293" t="str">
        <f ca="1">IF(ISERROR($S843),"",OFFSET('Smelter Reference List'!$G$4,$S843-4,0))</f>
        <v/>
      </c>
      <c r="I843" s="294" t="str">
        <f ca="1">IF(ISERROR($S843),"",OFFSET('Smelter Reference List'!$H$4,$S843-4,0))</f>
        <v/>
      </c>
      <c r="J843" s="294" t="str">
        <f ca="1">IF(ISERROR($S843),"",OFFSET('Smelter Reference List'!$I$4,$S843-4,0))</f>
        <v/>
      </c>
      <c r="K843" s="295"/>
      <c r="L843" s="295"/>
      <c r="M843" s="295"/>
      <c r="N843" s="295"/>
      <c r="O843" s="295"/>
      <c r="P843" s="295"/>
      <c r="Q843" s="296"/>
      <c r="R843" s="227"/>
      <c r="S843" s="228" t="e">
        <f>IF(C843="",NA(),MATCH($B843&amp;$C843,'Smelter Reference List'!$J:$J,0))</f>
        <v>#N/A</v>
      </c>
      <c r="T843" s="229"/>
      <c r="U843" s="229">
        <f t="shared" ca="1" si="28"/>
        <v>0</v>
      </c>
      <c r="V843" s="229"/>
      <c r="W843" s="229"/>
      <c r="Y843" s="223" t="str">
        <f t="shared" si="29"/>
        <v/>
      </c>
    </row>
    <row r="844" spans="1:25" s="223" customFormat="1" ht="20.25">
      <c r="A844" s="291"/>
      <c r="B844" s="292" t="str">
        <f>IF(LEN(A844)=0,"",INDEX('Smelter Reference List'!$A:$A,MATCH($A844,'Smelter Reference List'!$E:$E,0)))</f>
        <v/>
      </c>
      <c r="C844" s="298" t="str">
        <f>IF(LEN(A844)=0,"",INDEX('Smelter Reference List'!$C:$C,MATCH($A844,'Smelter Reference List'!$E:$E,0)))</f>
        <v/>
      </c>
      <c r="D844" s="292" t="str">
        <f ca="1">IF(ISERROR($S844),"",OFFSET('Smelter Reference List'!$C$4,$S844-4,0)&amp;"")</f>
        <v/>
      </c>
      <c r="E844" s="292" t="str">
        <f ca="1">IF(ISERROR($S844),"",OFFSET('Smelter Reference List'!$D$4,$S844-4,0)&amp;"")</f>
        <v/>
      </c>
      <c r="F844" s="292" t="str">
        <f ca="1">IF(ISERROR($S844),"",OFFSET('Smelter Reference List'!$E$4,$S844-4,0))</f>
        <v/>
      </c>
      <c r="G844" s="292" t="str">
        <f ca="1">IF(C844=$U$4,"Enter smelter details", IF(ISERROR($S844),"",OFFSET('Smelter Reference List'!$F$4,$S844-4,0)))</f>
        <v/>
      </c>
      <c r="H844" s="293" t="str">
        <f ca="1">IF(ISERROR($S844),"",OFFSET('Smelter Reference List'!$G$4,$S844-4,0))</f>
        <v/>
      </c>
      <c r="I844" s="294" t="str">
        <f ca="1">IF(ISERROR($S844),"",OFFSET('Smelter Reference List'!$H$4,$S844-4,0))</f>
        <v/>
      </c>
      <c r="J844" s="294" t="str">
        <f ca="1">IF(ISERROR($S844),"",OFFSET('Smelter Reference List'!$I$4,$S844-4,0))</f>
        <v/>
      </c>
      <c r="K844" s="295"/>
      <c r="L844" s="295"/>
      <c r="M844" s="295"/>
      <c r="N844" s="295"/>
      <c r="O844" s="295"/>
      <c r="P844" s="295"/>
      <c r="Q844" s="296"/>
      <c r="R844" s="227"/>
      <c r="S844" s="228" t="e">
        <f>IF(C844="",NA(),MATCH($B844&amp;$C844,'Smelter Reference List'!$J:$J,0))</f>
        <v>#N/A</v>
      </c>
      <c r="T844" s="229"/>
      <c r="U844" s="229">
        <f t="shared" ca="1" si="28"/>
        <v>0</v>
      </c>
      <c r="V844" s="229"/>
      <c r="W844" s="229"/>
      <c r="Y844" s="223" t="str">
        <f t="shared" si="29"/>
        <v/>
      </c>
    </row>
    <row r="845" spans="1:25" s="223" customFormat="1" ht="20.25">
      <c r="A845" s="291"/>
      <c r="B845" s="292" t="str">
        <f>IF(LEN(A845)=0,"",INDEX('Smelter Reference List'!$A:$A,MATCH($A845,'Smelter Reference List'!$E:$E,0)))</f>
        <v/>
      </c>
      <c r="C845" s="298" t="str">
        <f>IF(LEN(A845)=0,"",INDEX('Smelter Reference List'!$C:$C,MATCH($A845,'Smelter Reference List'!$E:$E,0)))</f>
        <v/>
      </c>
      <c r="D845" s="292" t="str">
        <f ca="1">IF(ISERROR($S845),"",OFFSET('Smelter Reference List'!$C$4,$S845-4,0)&amp;"")</f>
        <v/>
      </c>
      <c r="E845" s="292" t="str">
        <f ca="1">IF(ISERROR($S845),"",OFFSET('Smelter Reference List'!$D$4,$S845-4,0)&amp;"")</f>
        <v/>
      </c>
      <c r="F845" s="292" t="str">
        <f ca="1">IF(ISERROR($S845),"",OFFSET('Smelter Reference List'!$E$4,$S845-4,0))</f>
        <v/>
      </c>
      <c r="G845" s="292" t="str">
        <f ca="1">IF(C845=$U$4,"Enter smelter details", IF(ISERROR($S845),"",OFFSET('Smelter Reference List'!$F$4,$S845-4,0)))</f>
        <v/>
      </c>
      <c r="H845" s="293" t="str">
        <f ca="1">IF(ISERROR($S845),"",OFFSET('Smelter Reference List'!$G$4,$S845-4,0))</f>
        <v/>
      </c>
      <c r="I845" s="294" t="str">
        <f ca="1">IF(ISERROR($S845),"",OFFSET('Smelter Reference List'!$H$4,$S845-4,0))</f>
        <v/>
      </c>
      <c r="J845" s="294" t="str">
        <f ca="1">IF(ISERROR($S845),"",OFFSET('Smelter Reference List'!$I$4,$S845-4,0))</f>
        <v/>
      </c>
      <c r="K845" s="295"/>
      <c r="L845" s="295"/>
      <c r="M845" s="295"/>
      <c r="N845" s="295"/>
      <c r="O845" s="295"/>
      <c r="P845" s="295"/>
      <c r="Q845" s="296"/>
      <c r="R845" s="227"/>
      <c r="S845" s="228" t="e">
        <f>IF(C845="",NA(),MATCH($B845&amp;$C845,'Smelter Reference List'!$J:$J,0))</f>
        <v>#N/A</v>
      </c>
      <c r="T845" s="229"/>
      <c r="U845" s="229">
        <f t="shared" ca="1" si="28"/>
        <v>0</v>
      </c>
      <c r="V845" s="229"/>
      <c r="W845" s="229"/>
      <c r="Y845" s="223" t="str">
        <f t="shared" si="29"/>
        <v/>
      </c>
    </row>
    <row r="846" spans="1:25" s="223" customFormat="1" ht="20.25">
      <c r="A846" s="291"/>
      <c r="B846" s="292" t="str">
        <f>IF(LEN(A846)=0,"",INDEX('Smelter Reference List'!$A:$A,MATCH($A846,'Smelter Reference List'!$E:$E,0)))</f>
        <v/>
      </c>
      <c r="C846" s="298" t="str">
        <f>IF(LEN(A846)=0,"",INDEX('Smelter Reference List'!$C:$C,MATCH($A846,'Smelter Reference List'!$E:$E,0)))</f>
        <v/>
      </c>
      <c r="D846" s="292" t="str">
        <f ca="1">IF(ISERROR($S846),"",OFFSET('Smelter Reference List'!$C$4,$S846-4,0)&amp;"")</f>
        <v/>
      </c>
      <c r="E846" s="292" t="str">
        <f ca="1">IF(ISERROR($S846),"",OFFSET('Smelter Reference List'!$D$4,$S846-4,0)&amp;"")</f>
        <v/>
      </c>
      <c r="F846" s="292" t="str">
        <f ca="1">IF(ISERROR($S846),"",OFFSET('Smelter Reference List'!$E$4,$S846-4,0))</f>
        <v/>
      </c>
      <c r="G846" s="292" t="str">
        <f ca="1">IF(C846=$U$4,"Enter smelter details", IF(ISERROR($S846),"",OFFSET('Smelter Reference List'!$F$4,$S846-4,0)))</f>
        <v/>
      </c>
      <c r="H846" s="293" t="str">
        <f ca="1">IF(ISERROR($S846),"",OFFSET('Smelter Reference List'!$G$4,$S846-4,0))</f>
        <v/>
      </c>
      <c r="I846" s="294" t="str">
        <f ca="1">IF(ISERROR($S846),"",OFFSET('Smelter Reference List'!$H$4,$S846-4,0))</f>
        <v/>
      </c>
      <c r="J846" s="294" t="str">
        <f ca="1">IF(ISERROR($S846),"",OFFSET('Smelter Reference List'!$I$4,$S846-4,0))</f>
        <v/>
      </c>
      <c r="K846" s="295"/>
      <c r="L846" s="295"/>
      <c r="M846" s="295"/>
      <c r="N846" s="295"/>
      <c r="O846" s="295"/>
      <c r="P846" s="295"/>
      <c r="Q846" s="296"/>
      <c r="R846" s="227"/>
      <c r="S846" s="228" t="e">
        <f>IF(C846="",NA(),MATCH($B846&amp;$C846,'Smelter Reference List'!$J:$J,0))</f>
        <v>#N/A</v>
      </c>
      <c r="T846" s="229"/>
      <c r="U846" s="229">
        <f t="shared" ca="1" si="28"/>
        <v>0</v>
      </c>
      <c r="V846" s="229"/>
      <c r="W846" s="229"/>
      <c r="Y846" s="223" t="str">
        <f t="shared" si="29"/>
        <v/>
      </c>
    </row>
    <row r="847" spans="1:25" s="223" customFormat="1" ht="20.25">
      <c r="A847" s="291"/>
      <c r="B847" s="292" t="str">
        <f>IF(LEN(A847)=0,"",INDEX('Smelter Reference List'!$A:$A,MATCH($A847,'Smelter Reference List'!$E:$E,0)))</f>
        <v/>
      </c>
      <c r="C847" s="298" t="str">
        <f>IF(LEN(A847)=0,"",INDEX('Smelter Reference List'!$C:$C,MATCH($A847,'Smelter Reference List'!$E:$E,0)))</f>
        <v/>
      </c>
      <c r="D847" s="292" t="str">
        <f ca="1">IF(ISERROR($S847),"",OFFSET('Smelter Reference List'!$C$4,$S847-4,0)&amp;"")</f>
        <v/>
      </c>
      <c r="E847" s="292" t="str">
        <f ca="1">IF(ISERROR($S847),"",OFFSET('Smelter Reference List'!$D$4,$S847-4,0)&amp;"")</f>
        <v/>
      </c>
      <c r="F847" s="292" t="str">
        <f ca="1">IF(ISERROR($S847),"",OFFSET('Smelter Reference List'!$E$4,$S847-4,0))</f>
        <v/>
      </c>
      <c r="G847" s="292" t="str">
        <f ca="1">IF(C847=$U$4,"Enter smelter details", IF(ISERROR($S847),"",OFFSET('Smelter Reference List'!$F$4,$S847-4,0)))</f>
        <v/>
      </c>
      <c r="H847" s="293" t="str">
        <f ca="1">IF(ISERROR($S847),"",OFFSET('Smelter Reference List'!$G$4,$S847-4,0))</f>
        <v/>
      </c>
      <c r="I847" s="294" t="str">
        <f ca="1">IF(ISERROR($S847),"",OFFSET('Smelter Reference List'!$H$4,$S847-4,0))</f>
        <v/>
      </c>
      <c r="J847" s="294" t="str">
        <f ca="1">IF(ISERROR($S847),"",OFFSET('Smelter Reference List'!$I$4,$S847-4,0))</f>
        <v/>
      </c>
      <c r="K847" s="295"/>
      <c r="L847" s="295"/>
      <c r="M847" s="295"/>
      <c r="N847" s="295"/>
      <c r="O847" s="295"/>
      <c r="P847" s="295"/>
      <c r="Q847" s="296"/>
      <c r="R847" s="227"/>
      <c r="S847" s="228" t="e">
        <f>IF(C847="",NA(),MATCH($B847&amp;$C847,'Smelter Reference List'!$J:$J,0))</f>
        <v>#N/A</v>
      </c>
      <c r="T847" s="229"/>
      <c r="U847" s="229">
        <f t="shared" ca="1" si="28"/>
        <v>0</v>
      </c>
      <c r="V847" s="229"/>
      <c r="W847" s="229"/>
      <c r="Y847" s="223" t="str">
        <f t="shared" si="29"/>
        <v/>
      </c>
    </row>
    <row r="848" spans="1:25" s="223" customFormat="1" ht="20.25">
      <c r="A848" s="291"/>
      <c r="B848" s="292" t="str">
        <f>IF(LEN(A848)=0,"",INDEX('Smelter Reference List'!$A:$A,MATCH($A848,'Smelter Reference List'!$E:$E,0)))</f>
        <v/>
      </c>
      <c r="C848" s="298" t="str">
        <f>IF(LEN(A848)=0,"",INDEX('Smelter Reference List'!$C:$C,MATCH($A848,'Smelter Reference List'!$E:$E,0)))</f>
        <v/>
      </c>
      <c r="D848" s="292" t="str">
        <f ca="1">IF(ISERROR($S848),"",OFFSET('Smelter Reference List'!$C$4,$S848-4,0)&amp;"")</f>
        <v/>
      </c>
      <c r="E848" s="292" t="str">
        <f ca="1">IF(ISERROR($S848),"",OFFSET('Smelter Reference List'!$D$4,$S848-4,0)&amp;"")</f>
        <v/>
      </c>
      <c r="F848" s="292" t="str">
        <f ca="1">IF(ISERROR($S848),"",OFFSET('Smelter Reference List'!$E$4,$S848-4,0))</f>
        <v/>
      </c>
      <c r="G848" s="292" t="str">
        <f ca="1">IF(C848=$U$4,"Enter smelter details", IF(ISERROR($S848),"",OFFSET('Smelter Reference List'!$F$4,$S848-4,0)))</f>
        <v/>
      </c>
      <c r="H848" s="293" t="str">
        <f ca="1">IF(ISERROR($S848),"",OFFSET('Smelter Reference List'!$G$4,$S848-4,0))</f>
        <v/>
      </c>
      <c r="I848" s="294" t="str">
        <f ca="1">IF(ISERROR($S848),"",OFFSET('Smelter Reference List'!$H$4,$S848-4,0))</f>
        <v/>
      </c>
      <c r="J848" s="294" t="str">
        <f ca="1">IF(ISERROR($S848),"",OFFSET('Smelter Reference List'!$I$4,$S848-4,0))</f>
        <v/>
      </c>
      <c r="K848" s="295"/>
      <c r="L848" s="295"/>
      <c r="M848" s="295"/>
      <c r="N848" s="295"/>
      <c r="O848" s="295"/>
      <c r="P848" s="295"/>
      <c r="Q848" s="296"/>
      <c r="R848" s="227"/>
      <c r="S848" s="228" t="e">
        <f>IF(C848="",NA(),MATCH($B848&amp;$C848,'Smelter Reference List'!$J:$J,0))</f>
        <v>#N/A</v>
      </c>
      <c r="T848" s="229"/>
      <c r="U848" s="229">
        <f t="shared" ca="1" si="28"/>
        <v>0</v>
      </c>
      <c r="V848" s="229"/>
      <c r="W848" s="229"/>
      <c r="Y848" s="223" t="str">
        <f t="shared" si="29"/>
        <v/>
      </c>
    </row>
    <row r="849" spans="1:25" s="223" customFormat="1" ht="20.25">
      <c r="A849" s="291"/>
      <c r="B849" s="292" t="str">
        <f>IF(LEN(A849)=0,"",INDEX('Smelter Reference List'!$A:$A,MATCH($A849,'Smelter Reference List'!$E:$E,0)))</f>
        <v/>
      </c>
      <c r="C849" s="298" t="str">
        <f>IF(LEN(A849)=0,"",INDEX('Smelter Reference List'!$C:$C,MATCH($A849,'Smelter Reference List'!$E:$E,0)))</f>
        <v/>
      </c>
      <c r="D849" s="292" t="str">
        <f ca="1">IF(ISERROR($S849),"",OFFSET('Smelter Reference List'!$C$4,$S849-4,0)&amp;"")</f>
        <v/>
      </c>
      <c r="E849" s="292" t="str">
        <f ca="1">IF(ISERROR($S849),"",OFFSET('Smelter Reference List'!$D$4,$S849-4,0)&amp;"")</f>
        <v/>
      </c>
      <c r="F849" s="292" t="str">
        <f ca="1">IF(ISERROR($S849),"",OFFSET('Smelter Reference List'!$E$4,$S849-4,0))</f>
        <v/>
      </c>
      <c r="G849" s="292" t="str">
        <f ca="1">IF(C849=$U$4,"Enter smelter details", IF(ISERROR($S849),"",OFFSET('Smelter Reference List'!$F$4,$S849-4,0)))</f>
        <v/>
      </c>
      <c r="H849" s="293" t="str">
        <f ca="1">IF(ISERROR($S849),"",OFFSET('Smelter Reference List'!$G$4,$S849-4,0))</f>
        <v/>
      </c>
      <c r="I849" s="294" t="str">
        <f ca="1">IF(ISERROR($S849),"",OFFSET('Smelter Reference List'!$H$4,$S849-4,0))</f>
        <v/>
      </c>
      <c r="J849" s="294" t="str">
        <f ca="1">IF(ISERROR($S849),"",OFFSET('Smelter Reference List'!$I$4,$S849-4,0))</f>
        <v/>
      </c>
      <c r="K849" s="295"/>
      <c r="L849" s="295"/>
      <c r="M849" s="295"/>
      <c r="N849" s="295"/>
      <c r="O849" s="295"/>
      <c r="P849" s="295"/>
      <c r="Q849" s="296"/>
      <c r="R849" s="227"/>
      <c r="S849" s="228" t="e">
        <f>IF(C849="",NA(),MATCH($B849&amp;$C849,'Smelter Reference List'!$J:$J,0))</f>
        <v>#N/A</v>
      </c>
      <c r="T849" s="229"/>
      <c r="U849" s="229">
        <f t="shared" ca="1" si="28"/>
        <v>0</v>
      </c>
      <c r="V849" s="229"/>
      <c r="W849" s="229"/>
      <c r="Y849" s="223" t="str">
        <f t="shared" si="29"/>
        <v/>
      </c>
    </row>
    <row r="850" spans="1:25" s="223" customFormat="1" ht="20.25">
      <c r="A850" s="291"/>
      <c r="B850" s="292" t="str">
        <f>IF(LEN(A850)=0,"",INDEX('Smelter Reference List'!$A:$A,MATCH($A850,'Smelter Reference List'!$E:$E,0)))</f>
        <v/>
      </c>
      <c r="C850" s="298" t="str">
        <f>IF(LEN(A850)=0,"",INDEX('Smelter Reference List'!$C:$C,MATCH($A850,'Smelter Reference List'!$E:$E,0)))</f>
        <v/>
      </c>
      <c r="D850" s="292" t="str">
        <f ca="1">IF(ISERROR($S850),"",OFFSET('Smelter Reference List'!$C$4,$S850-4,0)&amp;"")</f>
        <v/>
      </c>
      <c r="E850" s="292" t="str">
        <f ca="1">IF(ISERROR($S850),"",OFFSET('Smelter Reference List'!$D$4,$S850-4,0)&amp;"")</f>
        <v/>
      </c>
      <c r="F850" s="292" t="str">
        <f ca="1">IF(ISERROR($S850),"",OFFSET('Smelter Reference List'!$E$4,$S850-4,0))</f>
        <v/>
      </c>
      <c r="G850" s="292" t="str">
        <f ca="1">IF(C850=$U$4,"Enter smelter details", IF(ISERROR($S850),"",OFFSET('Smelter Reference List'!$F$4,$S850-4,0)))</f>
        <v/>
      </c>
      <c r="H850" s="293" t="str">
        <f ca="1">IF(ISERROR($S850),"",OFFSET('Smelter Reference List'!$G$4,$S850-4,0))</f>
        <v/>
      </c>
      <c r="I850" s="294" t="str">
        <f ca="1">IF(ISERROR($S850),"",OFFSET('Smelter Reference List'!$H$4,$S850-4,0))</f>
        <v/>
      </c>
      <c r="J850" s="294" t="str">
        <f ca="1">IF(ISERROR($S850),"",OFFSET('Smelter Reference List'!$I$4,$S850-4,0))</f>
        <v/>
      </c>
      <c r="K850" s="295"/>
      <c r="L850" s="295"/>
      <c r="M850" s="295"/>
      <c r="N850" s="295"/>
      <c r="O850" s="295"/>
      <c r="P850" s="295"/>
      <c r="Q850" s="296"/>
      <c r="R850" s="227"/>
      <c r="S850" s="228" t="e">
        <f>IF(C850="",NA(),MATCH($B850&amp;$C850,'Smelter Reference List'!$J:$J,0))</f>
        <v>#N/A</v>
      </c>
      <c r="T850" s="229"/>
      <c r="U850" s="229">
        <f t="shared" ca="1" si="28"/>
        <v>0</v>
      </c>
      <c r="V850" s="229"/>
      <c r="W850" s="229"/>
      <c r="Y850" s="223" t="str">
        <f t="shared" si="29"/>
        <v/>
      </c>
    </row>
    <row r="851" spans="1:25" s="223" customFormat="1" ht="20.25">
      <c r="A851" s="291"/>
      <c r="B851" s="292" t="str">
        <f>IF(LEN(A851)=0,"",INDEX('Smelter Reference List'!$A:$A,MATCH($A851,'Smelter Reference List'!$E:$E,0)))</f>
        <v/>
      </c>
      <c r="C851" s="298" t="str">
        <f>IF(LEN(A851)=0,"",INDEX('Smelter Reference List'!$C:$C,MATCH($A851,'Smelter Reference List'!$E:$E,0)))</f>
        <v/>
      </c>
      <c r="D851" s="292" t="str">
        <f ca="1">IF(ISERROR($S851),"",OFFSET('Smelter Reference List'!$C$4,$S851-4,0)&amp;"")</f>
        <v/>
      </c>
      <c r="E851" s="292" t="str">
        <f ca="1">IF(ISERROR($S851),"",OFFSET('Smelter Reference List'!$D$4,$S851-4,0)&amp;"")</f>
        <v/>
      </c>
      <c r="F851" s="292" t="str">
        <f ca="1">IF(ISERROR($S851),"",OFFSET('Smelter Reference List'!$E$4,$S851-4,0))</f>
        <v/>
      </c>
      <c r="G851" s="292" t="str">
        <f ca="1">IF(C851=$U$4,"Enter smelter details", IF(ISERROR($S851),"",OFFSET('Smelter Reference List'!$F$4,$S851-4,0)))</f>
        <v/>
      </c>
      <c r="H851" s="293" t="str">
        <f ca="1">IF(ISERROR($S851),"",OFFSET('Smelter Reference List'!$G$4,$S851-4,0))</f>
        <v/>
      </c>
      <c r="I851" s="294" t="str">
        <f ca="1">IF(ISERROR($S851),"",OFFSET('Smelter Reference List'!$H$4,$S851-4,0))</f>
        <v/>
      </c>
      <c r="J851" s="294" t="str">
        <f ca="1">IF(ISERROR($S851),"",OFFSET('Smelter Reference List'!$I$4,$S851-4,0))</f>
        <v/>
      </c>
      <c r="K851" s="295"/>
      <c r="L851" s="295"/>
      <c r="M851" s="295"/>
      <c r="N851" s="295"/>
      <c r="O851" s="295"/>
      <c r="P851" s="295"/>
      <c r="Q851" s="296"/>
      <c r="R851" s="227"/>
      <c r="S851" s="228" t="e">
        <f>IF(C851="",NA(),MATCH($B851&amp;$C851,'Smelter Reference List'!$J:$J,0))</f>
        <v>#N/A</v>
      </c>
      <c r="T851" s="229"/>
      <c r="U851" s="229">
        <f t="shared" ca="1" si="28"/>
        <v>0</v>
      </c>
      <c r="V851" s="229"/>
      <c r="W851" s="229"/>
      <c r="Y851" s="223" t="str">
        <f t="shared" si="29"/>
        <v/>
      </c>
    </row>
    <row r="852" spans="1:25" s="223" customFormat="1" ht="20.25">
      <c r="A852" s="291"/>
      <c r="B852" s="292" t="str">
        <f>IF(LEN(A852)=0,"",INDEX('Smelter Reference List'!$A:$A,MATCH($A852,'Smelter Reference List'!$E:$E,0)))</f>
        <v/>
      </c>
      <c r="C852" s="298" t="str">
        <f>IF(LEN(A852)=0,"",INDEX('Smelter Reference List'!$C:$C,MATCH($A852,'Smelter Reference List'!$E:$E,0)))</f>
        <v/>
      </c>
      <c r="D852" s="292" t="str">
        <f ca="1">IF(ISERROR($S852),"",OFFSET('Smelter Reference List'!$C$4,$S852-4,0)&amp;"")</f>
        <v/>
      </c>
      <c r="E852" s="292" t="str">
        <f ca="1">IF(ISERROR($S852),"",OFFSET('Smelter Reference List'!$D$4,$S852-4,0)&amp;"")</f>
        <v/>
      </c>
      <c r="F852" s="292" t="str">
        <f ca="1">IF(ISERROR($S852),"",OFFSET('Smelter Reference List'!$E$4,$S852-4,0))</f>
        <v/>
      </c>
      <c r="G852" s="292" t="str">
        <f ca="1">IF(C852=$U$4,"Enter smelter details", IF(ISERROR($S852),"",OFFSET('Smelter Reference List'!$F$4,$S852-4,0)))</f>
        <v/>
      </c>
      <c r="H852" s="293" t="str">
        <f ca="1">IF(ISERROR($S852),"",OFFSET('Smelter Reference List'!$G$4,$S852-4,0))</f>
        <v/>
      </c>
      <c r="I852" s="294" t="str">
        <f ca="1">IF(ISERROR($S852),"",OFFSET('Smelter Reference List'!$H$4,$S852-4,0))</f>
        <v/>
      </c>
      <c r="J852" s="294" t="str">
        <f ca="1">IF(ISERROR($S852),"",OFFSET('Smelter Reference List'!$I$4,$S852-4,0))</f>
        <v/>
      </c>
      <c r="K852" s="295"/>
      <c r="L852" s="295"/>
      <c r="M852" s="295"/>
      <c r="N852" s="295"/>
      <c r="O852" s="295"/>
      <c r="P852" s="295"/>
      <c r="Q852" s="296"/>
      <c r="R852" s="227"/>
      <c r="S852" s="228" t="e">
        <f>IF(C852="",NA(),MATCH($B852&amp;$C852,'Smelter Reference List'!$J:$J,0))</f>
        <v>#N/A</v>
      </c>
      <c r="T852" s="229"/>
      <c r="U852" s="229">
        <f t="shared" ca="1" si="28"/>
        <v>0</v>
      </c>
      <c r="V852" s="229"/>
      <c r="W852" s="229"/>
      <c r="Y852" s="223" t="str">
        <f t="shared" si="29"/>
        <v/>
      </c>
    </row>
    <row r="853" spans="1:25" s="223" customFormat="1" ht="20.25">
      <c r="A853" s="291"/>
      <c r="B853" s="292" t="str">
        <f>IF(LEN(A853)=0,"",INDEX('Smelter Reference List'!$A:$A,MATCH($A853,'Smelter Reference List'!$E:$E,0)))</f>
        <v/>
      </c>
      <c r="C853" s="298" t="str">
        <f>IF(LEN(A853)=0,"",INDEX('Smelter Reference List'!$C:$C,MATCH($A853,'Smelter Reference List'!$E:$E,0)))</f>
        <v/>
      </c>
      <c r="D853" s="292" t="str">
        <f ca="1">IF(ISERROR($S853),"",OFFSET('Smelter Reference List'!$C$4,$S853-4,0)&amp;"")</f>
        <v/>
      </c>
      <c r="E853" s="292" t="str">
        <f ca="1">IF(ISERROR($S853),"",OFFSET('Smelter Reference List'!$D$4,$S853-4,0)&amp;"")</f>
        <v/>
      </c>
      <c r="F853" s="292" t="str">
        <f ca="1">IF(ISERROR($S853),"",OFFSET('Smelter Reference List'!$E$4,$S853-4,0))</f>
        <v/>
      </c>
      <c r="G853" s="292" t="str">
        <f ca="1">IF(C853=$U$4,"Enter smelter details", IF(ISERROR($S853),"",OFFSET('Smelter Reference List'!$F$4,$S853-4,0)))</f>
        <v/>
      </c>
      <c r="H853" s="293" t="str">
        <f ca="1">IF(ISERROR($S853),"",OFFSET('Smelter Reference List'!$G$4,$S853-4,0))</f>
        <v/>
      </c>
      <c r="I853" s="294" t="str">
        <f ca="1">IF(ISERROR($S853),"",OFFSET('Smelter Reference List'!$H$4,$S853-4,0))</f>
        <v/>
      </c>
      <c r="J853" s="294" t="str">
        <f ca="1">IF(ISERROR($S853),"",OFFSET('Smelter Reference List'!$I$4,$S853-4,0))</f>
        <v/>
      </c>
      <c r="K853" s="295"/>
      <c r="L853" s="295"/>
      <c r="M853" s="295"/>
      <c r="N853" s="295"/>
      <c r="O853" s="295"/>
      <c r="P853" s="295"/>
      <c r="Q853" s="296"/>
      <c r="R853" s="227"/>
      <c r="S853" s="228" t="e">
        <f>IF(C853="",NA(),MATCH($B853&amp;$C853,'Smelter Reference List'!$J:$J,0))</f>
        <v>#N/A</v>
      </c>
      <c r="T853" s="229"/>
      <c r="U853" s="229">
        <f t="shared" ca="1" si="28"/>
        <v>0</v>
      </c>
      <c r="V853" s="229"/>
      <c r="W853" s="229"/>
      <c r="Y853" s="223" t="str">
        <f t="shared" si="29"/>
        <v/>
      </c>
    </row>
    <row r="854" spans="1:25" s="223" customFormat="1" ht="20.25">
      <c r="A854" s="291"/>
      <c r="B854" s="292" t="str">
        <f>IF(LEN(A854)=0,"",INDEX('Smelter Reference List'!$A:$A,MATCH($A854,'Smelter Reference List'!$E:$E,0)))</f>
        <v/>
      </c>
      <c r="C854" s="298" t="str">
        <f>IF(LEN(A854)=0,"",INDEX('Smelter Reference List'!$C:$C,MATCH($A854,'Smelter Reference List'!$E:$E,0)))</f>
        <v/>
      </c>
      <c r="D854" s="292" t="str">
        <f ca="1">IF(ISERROR($S854),"",OFFSET('Smelter Reference List'!$C$4,$S854-4,0)&amp;"")</f>
        <v/>
      </c>
      <c r="E854" s="292" t="str">
        <f ca="1">IF(ISERROR($S854),"",OFFSET('Smelter Reference List'!$D$4,$S854-4,0)&amp;"")</f>
        <v/>
      </c>
      <c r="F854" s="292" t="str">
        <f ca="1">IF(ISERROR($S854),"",OFFSET('Smelter Reference List'!$E$4,$S854-4,0))</f>
        <v/>
      </c>
      <c r="G854" s="292" t="str">
        <f ca="1">IF(C854=$U$4,"Enter smelter details", IF(ISERROR($S854),"",OFFSET('Smelter Reference List'!$F$4,$S854-4,0)))</f>
        <v/>
      </c>
      <c r="H854" s="293" t="str">
        <f ca="1">IF(ISERROR($S854),"",OFFSET('Smelter Reference List'!$G$4,$S854-4,0))</f>
        <v/>
      </c>
      <c r="I854" s="294" t="str">
        <f ca="1">IF(ISERROR($S854),"",OFFSET('Smelter Reference List'!$H$4,$S854-4,0))</f>
        <v/>
      </c>
      <c r="J854" s="294" t="str">
        <f ca="1">IF(ISERROR($S854),"",OFFSET('Smelter Reference List'!$I$4,$S854-4,0))</f>
        <v/>
      </c>
      <c r="K854" s="295"/>
      <c r="L854" s="295"/>
      <c r="M854" s="295"/>
      <c r="N854" s="295"/>
      <c r="O854" s="295"/>
      <c r="P854" s="295"/>
      <c r="Q854" s="296"/>
      <c r="R854" s="227"/>
      <c r="S854" s="228" t="e">
        <f>IF(C854="",NA(),MATCH($B854&amp;$C854,'Smelter Reference List'!$J:$J,0))</f>
        <v>#N/A</v>
      </c>
      <c r="T854" s="229"/>
      <c r="U854" s="229">
        <f t="shared" ca="1" si="28"/>
        <v>0</v>
      </c>
      <c r="V854" s="229"/>
      <c r="W854" s="229"/>
      <c r="Y854" s="223" t="str">
        <f t="shared" si="29"/>
        <v/>
      </c>
    </row>
    <row r="855" spans="1:25" s="223" customFormat="1" ht="20.25">
      <c r="A855" s="291"/>
      <c r="B855" s="292" t="str">
        <f>IF(LEN(A855)=0,"",INDEX('Smelter Reference List'!$A:$A,MATCH($A855,'Smelter Reference List'!$E:$E,0)))</f>
        <v/>
      </c>
      <c r="C855" s="298" t="str">
        <f>IF(LEN(A855)=0,"",INDEX('Smelter Reference List'!$C:$C,MATCH($A855,'Smelter Reference List'!$E:$E,0)))</f>
        <v/>
      </c>
      <c r="D855" s="292" t="str">
        <f ca="1">IF(ISERROR($S855),"",OFFSET('Smelter Reference List'!$C$4,$S855-4,0)&amp;"")</f>
        <v/>
      </c>
      <c r="E855" s="292" t="str">
        <f ca="1">IF(ISERROR($S855),"",OFFSET('Smelter Reference List'!$D$4,$S855-4,0)&amp;"")</f>
        <v/>
      </c>
      <c r="F855" s="292" t="str">
        <f ca="1">IF(ISERROR($S855),"",OFFSET('Smelter Reference List'!$E$4,$S855-4,0))</f>
        <v/>
      </c>
      <c r="G855" s="292" t="str">
        <f ca="1">IF(C855=$U$4,"Enter smelter details", IF(ISERROR($S855),"",OFFSET('Smelter Reference List'!$F$4,$S855-4,0)))</f>
        <v/>
      </c>
      <c r="H855" s="293" t="str">
        <f ca="1">IF(ISERROR($S855),"",OFFSET('Smelter Reference List'!$G$4,$S855-4,0))</f>
        <v/>
      </c>
      <c r="I855" s="294" t="str">
        <f ca="1">IF(ISERROR($S855),"",OFFSET('Smelter Reference List'!$H$4,$S855-4,0))</f>
        <v/>
      </c>
      <c r="J855" s="294" t="str">
        <f ca="1">IF(ISERROR($S855),"",OFFSET('Smelter Reference List'!$I$4,$S855-4,0))</f>
        <v/>
      </c>
      <c r="K855" s="295"/>
      <c r="L855" s="295"/>
      <c r="M855" s="295"/>
      <c r="N855" s="295"/>
      <c r="O855" s="295"/>
      <c r="P855" s="295"/>
      <c r="Q855" s="296"/>
      <c r="R855" s="227"/>
      <c r="S855" s="228" t="e">
        <f>IF(C855="",NA(),MATCH($B855&amp;$C855,'Smelter Reference List'!$J:$J,0))</f>
        <v>#N/A</v>
      </c>
      <c r="T855" s="229"/>
      <c r="U855" s="229">
        <f t="shared" ca="1" si="28"/>
        <v>0</v>
      </c>
      <c r="V855" s="229"/>
      <c r="W855" s="229"/>
      <c r="Y855" s="223" t="str">
        <f t="shared" si="29"/>
        <v/>
      </c>
    </row>
    <row r="856" spans="1:25" s="223" customFormat="1" ht="20.25">
      <c r="A856" s="291"/>
      <c r="B856" s="292" t="str">
        <f>IF(LEN(A856)=0,"",INDEX('Smelter Reference List'!$A:$A,MATCH($A856,'Smelter Reference List'!$E:$E,0)))</f>
        <v/>
      </c>
      <c r="C856" s="298" t="str">
        <f>IF(LEN(A856)=0,"",INDEX('Smelter Reference List'!$C:$C,MATCH($A856,'Smelter Reference List'!$E:$E,0)))</f>
        <v/>
      </c>
      <c r="D856" s="292" t="str">
        <f ca="1">IF(ISERROR($S856),"",OFFSET('Smelter Reference List'!$C$4,$S856-4,0)&amp;"")</f>
        <v/>
      </c>
      <c r="E856" s="292" t="str">
        <f ca="1">IF(ISERROR($S856),"",OFFSET('Smelter Reference List'!$D$4,$S856-4,0)&amp;"")</f>
        <v/>
      </c>
      <c r="F856" s="292" t="str">
        <f ca="1">IF(ISERROR($S856),"",OFFSET('Smelter Reference List'!$E$4,$S856-4,0))</f>
        <v/>
      </c>
      <c r="G856" s="292" t="str">
        <f ca="1">IF(C856=$U$4,"Enter smelter details", IF(ISERROR($S856),"",OFFSET('Smelter Reference List'!$F$4,$S856-4,0)))</f>
        <v/>
      </c>
      <c r="H856" s="293" t="str">
        <f ca="1">IF(ISERROR($S856),"",OFFSET('Smelter Reference List'!$G$4,$S856-4,0))</f>
        <v/>
      </c>
      <c r="I856" s="294" t="str">
        <f ca="1">IF(ISERROR($S856),"",OFFSET('Smelter Reference List'!$H$4,$S856-4,0))</f>
        <v/>
      </c>
      <c r="J856" s="294" t="str">
        <f ca="1">IF(ISERROR($S856),"",OFFSET('Smelter Reference List'!$I$4,$S856-4,0))</f>
        <v/>
      </c>
      <c r="K856" s="295"/>
      <c r="L856" s="295"/>
      <c r="M856" s="295"/>
      <c r="N856" s="295"/>
      <c r="O856" s="295"/>
      <c r="P856" s="295"/>
      <c r="Q856" s="296"/>
      <c r="R856" s="227"/>
      <c r="S856" s="228" t="e">
        <f>IF(C856="",NA(),MATCH($B856&amp;$C856,'Smelter Reference List'!$J:$J,0))</f>
        <v>#N/A</v>
      </c>
      <c r="T856" s="229"/>
      <c r="U856" s="229">
        <f t="shared" ca="1" si="28"/>
        <v>0</v>
      </c>
      <c r="V856" s="229"/>
      <c r="W856" s="229"/>
      <c r="Y856" s="223" t="str">
        <f t="shared" si="29"/>
        <v/>
      </c>
    </row>
    <row r="857" spans="1:25" s="223" customFormat="1" ht="20.25">
      <c r="A857" s="291"/>
      <c r="B857" s="292" t="str">
        <f>IF(LEN(A857)=0,"",INDEX('Smelter Reference List'!$A:$A,MATCH($A857,'Smelter Reference List'!$E:$E,0)))</f>
        <v/>
      </c>
      <c r="C857" s="298" t="str">
        <f>IF(LEN(A857)=0,"",INDEX('Smelter Reference List'!$C:$C,MATCH($A857,'Smelter Reference List'!$E:$E,0)))</f>
        <v/>
      </c>
      <c r="D857" s="292" t="str">
        <f ca="1">IF(ISERROR($S857),"",OFFSET('Smelter Reference List'!$C$4,$S857-4,0)&amp;"")</f>
        <v/>
      </c>
      <c r="E857" s="292" t="str">
        <f ca="1">IF(ISERROR($S857),"",OFFSET('Smelter Reference List'!$D$4,$S857-4,0)&amp;"")</f>
        <v/>
      </c>
      <c r="F857" s="292" t="str">
        <f ca="1">IF(ISERROR($S857),"",OFFSET('Smelter Reference List'!$E$4,$S857-4,0))</f>
        <v/>
      </c>
      <c r="G857" s="292" t="str">
        <f ca="1">IF(C857=$U$4,"Enter smelter details", IF(ISERROR($S857),"",OFFSET('Smelter Reference List'!$F$4,$S857-4,0)))</f>
        <v/>
      </c>
      <c r="H857" s="293" t="str">
        <f ca="1">IF(ISERROR($S857),"",OFFSET('Smelter Reference List'!$G$4,$S857-4,0))</f>
        <v/>
      </c>
      <c r="I857" s="294" t="str">
        <f ca="1">IF(ISERROR($S857),"",OFFSET('Smelter Reference List'!$H$4,$S857-4,0))</f>
        <v/>
      </c>
      <c r="J857" s="294" t="str">
        <f ca="1">IF(ISERROR($S857),"",OFFSET('Smelter Reference List'!$I$4,$S857-4,0))</f>
        <v/>
      </c>
      <c r="K857" s="295"/>
      <c r="L857" s="295"/>
      <c r="M857" s="295"/>
      <c r="N857" s="295"/>
      <c r="O857" s="295"/>
      <c r="P857" s="295"/>
      <c r="Q857" s="296"/>
      <c r="R857" s="227"/>
      <c r="S857" s="228" t="e">
        <f>IF(C857="",NA(),MATCH($B857&amp;$C857,'Smelter Reference List'!$J:$J,0))</f>
        <v>#N/A</v>
      </c>
      <c r="T857" s="229"/>
      <c r="U857" s="229">
        <f t="shared" ca="1" si="28"/>
        <v>0</v>
      </c>
      <c r="V857" s="229"/>
      <c r="W857" s="229"/>
      <c r="Y857" s="223" t="str">
        <f t="shared" si="29"/>
        <v/>
      </c>
    </row>
    <row r="858" spans="1:25" s="223" customFormat="1" ht="20.25">
      <c r="A858" s="291"/>
      <c r="B858" s="292" t="str">
        <f>IF(LEN(A858)=0,"",INDEX('Smelter Reference List'!$A:$A,MATCH($A858,'Smelter Reference List'!$E:$E,0)))</f>
        <v/>
      </c>
      <c r="C858" s="298" t="str">
        <f>IF(LEN(A858)=0,"",INDEX('Smelter Reference List'!$C:$C,MATCH($A858,'Smelter Reference List'!$E:$E,0)))</f>
        <v/>
      </c>
      <c r="D858" s="292" t="str">
        <f ca="1">IF(ISERROR($S858),"",OFFSET('Smelter Reference List'!$C$4,$S858-4,0)&amp;"")</f>
        <v/>
      </c>
      <c r="E858" s="292" t="str">
        <f ca="1">IF(ISERROR($S858),"",OFFSET('Smelter Reference List'!$D$4,$S858-4,0)&amp;"")</f>
        <v/>
      </c>
      <c r="F858" s="292" t="str">
        <f ca="1">IF(ISERROR($S858),"",OFFSET('Smelter Reference List'!$E$4,$S858-4,0))</f>
        <v/>
      </c>
      <c r="G858" s="292" t="str">
        <f ca="1">IF(C858=$U$4,"Enter smelter details", IF(ISERROR($S858),"",OFFSET('Smelter Reference List'!$F$4,$S858-4,0)))</f>
        <v/>
      </c>
      <c r="H858" s="293" t="str">
        <f ca="1">IF(ISERROR($S858),"",OFFSET('Smelter Reference List'!$G$4,$S858-4,0))</f>
        <v/>
      </c>
      <c r="I858" s="294" t="str">
        <f ca="1">IF(ISERROR($S858),"",OFFSET('Smelter Reference List'!$H$4,$S858-4,0))</f>
        <v/>
      </c>
      <c r="J858" s="294" t="str">
        <f ca="1">IF(ISERROR($S858),"",OFFSET('Smelter Reference List'!$I$4,$S858-4,0))</f>
        <v/>
      </c>
      <c r="K858" s="295"/>
      <c r="L858" s="295"/>
      <c r="M858" s="295"/>
      <c r="N858" s="295"/>
      <c r="O858" s="295"/>
      <c r="P858" s="295"/>
      <c r="Q858" s="296"/>
      <c r="R858" s="227"/>
      <c r="S858" s="228" t="e">
        <f>IF(C858="",NA(),MATCH($B858&amp;$C858,'Smelter Reference List'!$J:$J,0))</f>
        <v>#N/A</v>
      </c>
      <c r="T858" s="229"/>
      <c r="U858" s="229">
        <f t="shared" ca="1" si="28"/>
        <v>0</v>
      </c>
      <c r="V858" s="229"/>
      <c r="W858" s="229"/>
      <c r="Y858" s="223" t="str">
        <f t="shared" si="29"/>
        <v/>
      </c>
    </row>
    <row r="859" spans="1:25" s="223" customFormat="1" ht="20.25">
      <c r="A859" s="291"/>
      <c r="B859" s="292" t="str">
        <f>IF(LEN(A859)=0,"",INDEX('Smelter Reference List'!$A:$A,MATCH($A859,'Smelter Reference List'!$E:$E,0)))</f>
        <v/>
      </c>
      <c r="C859" s="298" t="str">
        <f>IF(LEN(A859)=0,"",INDEX('Smelter Reference List'!$C:$C,MATCH($A859,'Smelter Reference List'!$E:$E,0)))</f>
        <v/>
      </c>
      <c r="D859" s="292" t="str">
        <f ca="1">IF(ISERROR($S859),"",OFFSET('Smelter Reference List'!$C$4,$S859-4,0)&amp;"")</f>
        <v/>
      </c>
      <c r="E859" s="292" t="str">
        <f ca="1">IF(ISERROR($S859),"",OFFSET('Smelter Reference List'!$D$4,$S859-4,0)&amp;"")</f>
        <v/>
      </c>
      <c r="F859" s="292" t="str">
        <f ca="1">IF(ISERROR($S859),"",OFFSET('Smelter Reference List'!$E$4,$S859-4,0))</f>
        <v/>
      </c>
      <c r="G859" s="292" t="str">
        <f ca="1">IF(C859=$U$4,"Enter smelter details", IF(ISERROR($S859),"",OFFSET('Smelter Reference List'!$F$4,$S859-4,0)))</f>
        <v/>
      </c>
      <c r="H859" s="293" t="str">
        <f ca="1">IF(ISERROR($S859),"",OFFSET('Smelter Reference List'!$G$4,$S859-4,0))</f>
        <v/>
      </c>
      <c r="I859" s="294" t="str">
        <f ca="1">IF(ISERROR($S859),"",OFFSET('Smelter Reference List'!$H$4,$S859-4,0))</f>
        <v/>
      </c>
      <c r="J859" s="294" t="str">
        <f ca="1">IF(ISERROR($S859),"",OFFSET('Smelter Reference List'!$I$4,$S859-4,0))</f>
        <v/>
      </c>
      <c r="K859" s="295"/>
      <c r="L859" s="295"/>
      <c r="M859" s="295"/>
      <c r="N859" s="295"/>
      <c r="O859" s="295"/>
      <c r="P859" s="295"/>
      <c r="Q859" s="296"/>
      <c r="R859" s="227"/>
      <c r="S859" s="228" t="e">
        <f>IF(C859="",NA(),MATCH($B859&amp;$C859,'Smelter Reference List'!$J:$J,0))</f>
        <v>#N/A</v>
      </c>
      <c r="T859" s="229"/>
      <c r="U859" s="229">
        <f t="shared" ca="1" si="28"/>
        <v>0</v>
      </c>
      <c r="V859" s="229"/>
      <c r="W859" s="229"/>
      <c r="Y859" s="223" t="str">
        <f t="shared" si="29"/>
        <v/>
      </c>
    </row>
    <row r="860" spans="1:25" s="223" customFormat="1" ht="20.25">
      <c r="A860" s="291"/>
      <c r="B860" s="292" t="str">
        <f>IF(LEN(A860)=0,"",INDEX('Smelter Reference List'!$A:$A,MATCH($A860,'Smelter Reference List'!$E:$E,0)))</f>
        <v/>
      </c>
      <c r="C860" s="298" t="str">
        <f>IF(LEN(A860)=0,"",INDEX('Smelter Reference List'!$C:$C,MATCH($A860,'Smelter Reference List'!$E:$E,0)))</f>
        <v/>
      </c>
      <c r="D860" s="292" t="str">
        <f ca="1">IF(ISERROR($S860),"",OFFSET('Smelter Reference List'!$C$4,$S860-4,0)&amp;"")</f>
        <v/>
      </c>
      <c r="E860" s="292" t="str">
        <f ca="1">IF(ISERROR($S860),"",OFFSET('Smelter Reference List'!$D$4,$S860-4,0)&amp;"")</f>
        <v/>
      </c>
      <c r="F860" s="292" t="str">
        <f ca="1">IF(ISERROR($S860),"",OFFSET('Smelter Reference List'!$E$4,$S860-4,0))</f>
        <v/>
      </c>
      <c r="G860" s="292" t="str">
        <f ca="1">IF(C860=$U$4,"Enter smelter details", IF(ISERROR($S860),"",OFFSET('Smelter Reference List'!$F$4,$S860-4,0)))</f>
        <v/>
      </c>
      <c r="H860" s="293" t="str">
        <f ca="1">IF(ISERROR($S860),"",OFFSET('Smelter Reference List'!$G$4,$S860-4,0))</f>
        <v/>
      </c>
      <c r="I860" s="294" t="str">
        <f ca="1">IF(ISERROR($S860),"",OFFSET('Smelter Reference List'!$H$4,$S860-4,0))</f>
        <v/>
      </c>
      <c r="J860" s="294" t="str">
        <f ca="1">IF(ISERROR($S860),"",OFFSET('Smelter Reference List'!$I$4,$S860-4,0))</f>
        <v/>
      </c>
      <c r="K860" s="295"/>
      <c r="L860" s="295"/>
      <c r="M860" s="295"/>
      <c r="N860" s="295"/>
      <c r="O860" s="295"/>
      <c r="P860" s="295"/>
      <c r="Q860" s="296"/>
      <c r="R860" s="227"/>
      <c r="S860" s="228" t="e">
        <f>IF(C860="",NA(),MATCH($B860&amp;$C860,'Smelter Reference List'!$J:$J,0))</f>
        <v>#N/A</v>
      </c>
      <c r="T860" s="229"/>
      <c r="U860" s="229">
        <f t="shared" ca="1" si="28"/>
        <v>0</v>
      </c>
      <c r="V860" s="229"/>
      <c r="W860" s="229"/>
      <c r="Y860" s="223" t="str">
        <f t="shared" si="29"/>
        <v/>
      </c>
    </row>
    <row r="861" spans="1:25" s="223" customFormat="1" ht="20.25">
      <c r="A861" s="291"/>
      <c r="B861" s="292" t="str">
        <f>IF(LEN(A861)=0,"",INDEX('Smelter Reference List'!$A:$A,MATCH($A861,'Smelter Reference List'!$E:$E,0)))</f>
        <v/>
      </c>
      <c r="C861" s="298" t="str">
        <f>IF(LEN(A861)=0,"",INDEX('Smelter Reference List'!$C:$C,MATCH($A861,'Smelter Reference List'!$E:$E,0)))</f>
        <v/>
      </c>
      <c r="D861" s="292" t="str">
        <f ca="1">IF(ISERROR($S861),"",OFFSET('Smelter Reference List'!$C$4,$S861-4,0)&amp;"")</f>
        <v/>
      </c>
      <c r="E861" s="292" t="str">
        <f ca="1">IF(ISERROR($S861),"",OFFSET('Smelter Reference List'!$D$4,$S861-4,0)&amp;"")</f>
        <v/>
      </c>
      <c r="F861" s="292" t="str">
        <f ca="1">IF(ISERROR($S861),"",OFFSET('Smelter Reference List'!$E$4,$S861-4,0))</f>
        <v/>
      </c>
      <c r="G861" s="292" t="str">
        <f ca="1">IF(C861=$U$4,"Enter smelter details", IF(ISERROR($S861),"",OFFSET('Smelter Reference List'!$F$4,$S861-4,0)))</f>
        <v/>
      </c>
      <c r="H861" s="293" t="str">
        <f ca="1">IF(ISERROR($S861),"",OFFSET('Smelter Reference List'!$G$4,$S861-4,0))</f>
        <v/>
      </c>
      <c r="I861" s="294" t="str">
        <f ca="1">IF(ISERROR($S861),"",OFFSET('Smelter Reference List'!$H$4,$S861-4,0))</f>
        <v/>
      </c>
      <c r="J861" s="294" t="str">
        <f ca="1">IF(ISERROR($S861),"",OFFSET('Smelter Reference List'!$I$4,$S861-4,0))</f>
        <v/>
      </c>
      <c r="K861" s="295"/>
      <c r="L861" s="295"/>
      <c r="M861" s="295"/>
      <c r="N861" s="295"/>
      <c r="O861" s="295"/>
      <c r="P861" s="295"/>
      <c r="Q861" s="296"/>
      <c r="R861" s="227"/>
      <c r="S861" s="228" t="e">
        <f>IF(C861="",NA(),MATCH($B861&amp;$C861,'Smelter Reference List'!$J:$J,0))</f>
        <v>#N/A</v>
      </c>
      <c r="T861" s="229"/>
      <c r="U861" s="229">
        <f t="shared" ca="1" si="28"/>
        <v>0</v>
      </c>
      <c r="V861" s="229"/>
      <c r="W861" s="229"/>
      <c r="Y861" s="223" t="str">
        <f t="shared" si="29"/>
        <v/>
      </c>
    </row>
    <row r="862" spans="1:25" s="223" customFormat="1" ht="20.25">
      <c r="A862" s="291"/>
      <c r="B862" s="292" t="str">
        <f>IF(LEN(A862)=0,"",INDEX('Smelter Reference List'!$A:$A,MATCH($A862,'Smelter Reference List'!$E:$E,0)))</f>
        <v/>
      </c>
      <c r="C862" s="298" t="str">
        <f>IF(LEN(A862)=0,"",INDEX('Smelter Reference List'!$C:$C,MATCH($A862,'Smelter Reference List'!$E:$E,0)))</f>
        <v/>
      </c>
      <c r="D862" s="292" t="str">
        <f ca="1">IF(ISERROR($S862),"",OFFSET('Smelter Reference List'!$C$4,$S862-4,0)&amp;"")</f>
        <v/>
      </c>
      <c r="E862" s="292" t="str">
        <f ca="1">IF(ISERROR($S862),"",OFFSET('Smelter Reference List'!$D$4,$S862-4,0)&amp;"")</f>
        <v/>
      </c>
      <c r="F862" s="292" t="str">
        <f ca="1">IF(ISERROR($S862),"",OFFSET('Smelter Reference List'!$E$4,$S862-4,0))</f>
        <v/>
      </c>
      <c r="G862" s="292" t="str">
        <f ca="1">IF(C862=$U$4,"Enter smelter details", IF(ISERROR($S862),"",OFFSET('Smelter Reference List'!$F$4,$S862-4,0)))</f>
        <v/>
      </c>
      <c r="H862" s="293" t="str">
        <f ca="1">IF(ISERROR($S862),"",OFFSET('Smelter Reference List'!$G$4,$S862-4,0))</f>
        <v/>
      </c>
      <c r="I862" s="294" t="str">
        <f ca="1">IF(ISERROR($S862),"",OFFSET('Smelter Reference List'!$H$4,$S862-4,0))</f>
        <v/>
      </c>
      <c r="J862" s="294" t="str">
        <f ca="1">IF(ISERROR($S862),"",OFFSET('Smelter Reference List'!$I$4,$S862-4,0))</f>
        <v/>
      </c>
      <c r="K862" s="295"/>
      <c r="L862" s="295"/>
      <c r="M862" s="295"/>
      <c r="N862" s="295"/>
      <c r="O862" s="295"/>
      <c r="P862" s="295"/>
      <c r="Q862" s="296"/>
      <c r="R862" s="227"/>
      <c r="S862" s="228" t="e">
        <f>IF(C862="",NA(),MATCH($B862&amp;$C862,'Smelter Reference List'!$J:$J,0))</f>
        <v>#N/A</v>
      </c>
      <c r="T862" s="229"/>
      <c r="U862" s="229">
        <f t="shared" ca="1" si="28"/>
        <v>0</v>
      </c>
      <c r="V862" s="229"/>
      <c r="W862" s="229"/>
      <c r="Y862" s="223" t="str">
        <f t="shared" si="29"/>
        <v/>
      </c>
    </row>
    <row r="863" spans="1:25" s="223" customFormat="1" ht="20.25">
      <c r="A863" s="291"/>
      <c r="B863" s="292" t="str">
        <f>IF(LEN(A863)=0,"",INDEX('Smelter Reference List'!$A:$A,MATCH($A863,'Smelter Reference List'!$E:$E,0)))</f>
        <v/>
      </c>
      <c r="C863" s="298" t="str">
        <f>IF(LEN(A863)=0,"",INDEX('Smelter Reference List'!$C:$C,MATCH($A863,'Smelter Reference List'!$E:$E,0)))</f>
        <v/>
      </c>
      <c r="D863" s="292" t="str">
        <f ca="1">IF(ISERROR($S863),"",OFFSET('Smelter Reference List'!$C$4,$S863-4,0)&amp;"")</f>
        <v/>
      </c>
      <c r="E863" s="292" t="str">
        <f ca="1">IF(ISERROR($S863),"",OFFSET('Smelter Reference List'!$D$4,$S863-4,0)&amp;"")</f>
        <v/>
      </c>
      <c r="F863" s="292" t="str">
        <f ca="1">IF(ISERROR($S863),"",OFFSET('Smelter Reference List'!$E$4,$S863-4,0))</f>
        <v/>
      </c>
      <c r="G863" s="292" t="str">
        <f ca="1">IF(C863=$U$4,"Enter smelter details", IF(ISERROR($S863),"",OFFSET('Smelter Reference List'!$F$4,$S863-4,0)))</f>
        <v/>
      </c>
      <c r="H863" s="293" t="str">
        <f ca="1">IF(ISERROR($S863),"",OFFSET('Smelter Reference List'!$G$4,$S863-4,0))</f>
        <v/>
      </c>
      <c r="I863" s="294" t="str">
        <f ca="1">IF(ISERROR($S863),"",OFFSET('Smelter Reference List'!$H$4,$S863-4,0))</f>
        <v/>
      </c>
      <c r="J863" s="294" t="str">
        <f ca="1">IF(ISERROR($S863),"",OFFSET('Smelter Reference List'!$I$4,$S863-4,0))</f>
        <v/>
      </c>
      <c r="K863" s="295"/>
      <c r="L863" s="295"/>
      <c r="M863" s="295"/>
      <c r="N863" s="295"/>
      <c r="O863" s="295"/>
      <c r="P863" s="295"/>
      <c r="Q863" s="296"/>
      <c r="R863" s="227"/>
      <c r="S863" s="228" t="e">
        <f>IF(C863="",NA(),MATCH($B863&amp;$C863,'Smelter Reference List'!$J:$J,0))</f>
        <v>#N/A</v>
      </c>
      <c r="T863" s="229"/>
      <c r="U863" s="229">
        <f t="shared" ca="1" si="28"/>
        <v>0</v>
      </c>
      <c r="V863" s="229"/>
      <c r="W863" s="229"/>
      <c r="Y863" s="223" t="str">
        <f t="shared" si="29"/>
        <v/>
      </c>
    </row>
    <row r="864" spans="1:25" s="223" customFormat="1" ht="20.25">
      <c r="A864" s="291"/>
      <c r="B864" s="292" t="str">
        <f>IF(LEN(A864)=0,"",INDEX('Smelter Reference List'!$A:$A,MATCH($A864,'Smelter Reference List'!$E:$E,0)))</f>
        <v/>
      </c>
      <c r="C864" s="298" t="str">
        <f>IF(LEN(A864)=0,"",INDEX('Smelter Reference List'!$C:$C,MATCH($A864,'Smelter Reference List'!$E:$E,0)))</f>
        <v/>
      </c>
      <c r="D864" s="292" t="str">
        <f ca="1">IF(ISERROR($S864),"",OFFSET('Smelter Reference List'!$C$4,$S864-4,0)&amp;"")</f>
        <v/>
      </c>
      <c r="E864" s="292" t="str">
        <f ca="1">IF(ISERROR($S864),"",OFFSET('Smelter Reference List'!$D$4,$S864-4,0)&amp;"")</f>
        <v/>
      </c>
      <c r="F864" s="292" t="str">
        <f ca="1">IF(ISERROR($S864),"",OFFSET('Smelter Reference List'!$E$4,$S864-4,0))</f>
        <v/>
      </c>
      <c r="G864" s="292" t="str">
        <f ca="1">IF(C864=$U$4,"Enter smelter details", IF(ISERROR($S864),"",OFFSET('Smelter Reference List'!$F$4,$S864-4,0)))</f>
        <v/>
      </c>
      <c r="H864" s="293" t="str">
        <f ca="1">IF(ISERROR($S864),"",OFFSET('Smelter Reference List'!$G$4,$S864-4,0))</f>
        <v/>
      </c>
      <c r="I864" s="294" t="str">
        <f ca="1">IF(ISERROR($S864),"",OFFSET('Smelter Reference List'!$H$4,$S864-4,0))</f>
        <v/>
      </c>
      <c r="J864" s="294" t="str">
        <f ca="1">IF(ISERROR($S864),"",OFFSET('Smelter Reference List'!$I$4,$S864-4,0))</f>
        <v/>
      </c>
      <c r="K864" s="295"/>
      <c r="L864" s="295"/>
      <c r="M864" s="295"/>
      <c r="N864" s="295"/>
      <c r="O864" s="295"/>
      <c r="P864" s="295"/>
      <c r="Q864" s="296"/>
      <c r="R864" s="227"/>
      <c r="S864" s="228" t="e">
        <f>IF(C864="",NA(),MATCH($B864&amp;$C864,'Smelter Reference List'!$J:$J,0))</f>
        <v>#N/A</v>
      </c>
      <c r="T864" s="229"/>
      <c r="U864" s="229">
        <f t="shared" ca="1" si="28"/>
        <v>0</v>
      </c>
      <c r="V864" s="229"/>
      <c r="W864" s="229"/>
      <c r="Y864" s="223" t="str">
        <f t="shared" si="29"/>
        <v/>
      </c>
    </row>
    <row r="865" spans="1:25" s="223" customFormat="1" ht="20.25">
      <c r="A865" s="291"/>
      <c r="B865" s="292" t="str">
        <f>IF(LEN(A865)=0,"",INDEX('Smelter Reference List'!$A:$A,MATCH($A865,'Smelter Reference List'!$E:$E,0)))</f>
        <v/>
      </c>
      <c r="C865" s="298" t="str">
        <f>IF(LEN(A865)=0,"",INDEX('Smelter Reference List'!$C:$C,MATCH($A865,'Smelter Reference List'!$E:$E,0)))</f>
        <v/>
      </c>
      <c r="D865" s="292" t="str">
        <f ca="1">IF(ISERROR($S865),"",OFFSET('Smelter Reference List'!$C$4,$S865-4,0)&amp;"")</f>
        <v/>
      </c>
      <c r="E865" s="292" t="str">
        <f ca="1">IF(ISERROR($S865),"",OFFSET('Smelter Reference List'!$D$4,$S865-4,0)&amp;"")</f>
        <v/>
      </c>
      <c r="F865" s="292" t="str">
        <f ca="1">IF(ISERROR($S865),"",OFFSET('Smelter Reference List'!$E$4,$S865-4,0))</f>
        <v/>
      </c>
      <c r="G865" s="292" t="str">
        <f ca="1">IF(C865=$U$4,"Enter smelter details", IF(ISERROR($S865),"",OFFSET('Smelter Reference List'!$F$4,$S865-4,0)))</f>
        <v/>
      </c>
      <c r="H865" s="293" t="str">
        <f ca="1">IF(ISERROR($S865),"",OFFSET('Smelter Reference List'!$G$4,$S865-4,0))</f>
        <v/>
      </c>
      <c r="I865" s="294" t="str">
        <f ca="1">IF(ISERROR($S865),"",OFFSET('Smelter Reference List'!$H$4,$S865-4,0))</f>
        <v/>
      </c>
      <c r="J865" s="294" t="str">
        <f ca="1">IF(ISERROR($S865),"",OFFSET('Smelter Reference List'!$I$4,$S865-4,0))</f>
        <v/>
      </c>
      <c r="K865" s="295"/>
      <c r="L865" s="295"/>
      <c r="M865" s="295"/>
      <c r="N865" s="295"/>
      <c r="O865" s="295"/>
      <c r="P865" s="295"/>
      <c r="Q865" s="296"/>
      <c r="R865" s="227"/>
      <c r="S865" s="228" t="e">
        <f>IF(C865="",NA(),MATCH($B865&amp;$C865,'Smelter Reference List'!$J:$J,0))</f>
        <v>#N/A</v>
      </c>
      <c r="T865" s="229"/>
      <c r="U865" s="229">
        <f t="shared" ca="1" si="28"/>
        <v>0</v>
      </c>
      <c r="V865" s="229"/>
      <c r="W865" s="229"/>
      <c r="Y865" s="223" t="str">
        <f t="shared" si="29"/>
        <v/>
      </c>
    </row>
    <row r="866" spans="1:25" s="223" customFormat="1" ht="20.25">
      <c r="A866" s="291"/>
      <c r="B866" s="292" t="str">
        <f>IF(LEN(A866)=0,"",INDEX('Smelter Reference List'!$A:$A,MATCH($A866,'Smelter Reference List'!$E:$E,0)))</f>
        <v/>
      </c>
      <c r="C866" s="298" t="str">
        <f>IF(LEN(A866)=0,"",INDEX('Smelter Reference List'!$C:$C,MATCH($A866,'Smelter Reference List'!$E:$E,0)))</f>
        <v/>
      </c>
      <c r="D866" s="292" t="str">
        <f ca="1">IF(ISERROR($S866),"",OFFSET('Smelter Reference List'!$C$4,$S866-4,0)&amp;"")</f>
        <v/>
      </c>
      <c r="E866" s="292" t="str">
        <f ca="1">IF(ISERROR($S866),"",OFFSET('Smelter Reference List'!$D$4,$S866-4,0)&amp;"")</f>
        <v/>
      </c>
      <c r="F866" s="292" t="str">
        <f ca="1">IF(ISERROR($S866),"",OFFSET('Smelter Reference List'!$E$4,$S866-4,0))</f>
        <v/>
      </c>
      <c r="G866" s="292" t="str">
        <f ca="1">IF(C866=$U$4,"Enter smelter details", IF(ISERROR($S866),"",OFFSET('Smelter Reference List'!$F$4,$S866-4,0)))</f>
        <v/>
      </c>
      <c r="H866" s="293" t="str">
        <f ca="1">IF(ISERROR($S866),"",OFFSET('Smelter Reference List'!$G$4,$S866-4,0))</f>
        <v/>
      </c>
      <c r="I866" s="294" t="str">
        <f ca="1">IF(ISERROR($S866),"",OFFSET('Smelter Reference List'!$H$4,$S866-4,0))</f>
        <v/>
      </c>
      <c r="J866" s="294" t="str">
        <f ca="1">IF(ISERROR($S866),"",OFFSET('Smelter Reference List'!$I$4,$S866-4,0))</f>
        <v/>
      </c>
      <c r="K866" s="295"/>
      <c r="L866" s="295"/>
      <c r="M866" s="295"/>
      <c r="N866" s="295"/>
      <c r="O866" s="295"/>
      <c r="P866" s="295"/>
      <c r="Q866" s="296"/>
      <c r="R866" s="227"/>
      <c r="S866" s="228" t="e">
        <f>IF(C866="",NA(),MATCH($B866&amp;$C866,'Smelter Reference List'!$J:$J,0))</f>
        <v>#N/A</v>
      </c>
      <c r="T866" s="229"/>
      <c r="U866" s="229">
        <f t="shared" ca="1" si="28"/>
        <v>0</v>
      </c>
      <c r="V866" s="229"/>
      <c r="W866" s="229"/>
      <c r="Y866" s="223" t="str">
        <f t="shared" si="29"/>
        <v/>
      </c>
    </row>
    <row r="867" spans="1:25" s="223" customFormat="1" ht="20.25">
      <c r="A867" s="291"/>
      <c r="B867" s="292" t="str">
        <f>IF(LEN(A867)=0,"",INDEX('Smelter Reference List'!$A:$A,MATCH($A867,'Smelter Reference List'!$E:$E,0)))</f>
        <v/>
      </c>
      <c r="C867" s="298" t="str">
        <f>IF(LEN(A867)=0,"",INDEX('Smelter Reference List'!$C:$C,MATCH($A867,'Smelter Reference List'!$E:$E,0)))</f>
        <v/>
      </c>
      <c r="D867" s="292" t="str">
        <f ca="1">IF(ISERROR($S867),"",OFFSET('Smelter Reference List'!$C$4,$S867-4,0)&amp;"")</f>
        <v/>
      </c>
      <c r="E867" s="292" t="str">
        <f ca="1">IF(ISERROR($S867),"",OFFSET('Smelter Reference List'!$D$4,$S867-4,0)&amp;"")</f>
        <v/>
      </c>
      <c r="F867" s="292" t="str">
        <f ca="1">IF(ISERROR($S867),"",OFFSET('Smelter Reference List'!$E$4,$S867-4,0))</f>
        <v/>
      </c>
      <c r="G867" s="292" t="str">
        <f ca="1">IF(C867=$U$4,"Enter smelter details", IF(ISERROR($S867),"",OFFSET('Smelter Reference List'!$F$4,$S867-4,0)))</f>
        <v/>
      </c>
      <c r="H867" s="293" t="str">
        <f ca="1">IF(ISERROR($S867),"",OFFSET('Smelter Reference List'!$G$4,$S867-4,0))</f>
        <v/>
      </c>
      <c r="I867" s="294" t="str">
        <f ca="1">IF(ISERROR($S867),"",OFFSET('Smelter Reference List'!$H$4,$S867-4,0))</f>
        <v/>
      </c>
      <c r="J867" s="294" t="str">
        <f ca="1">IF(ISERROR($S867),"",OFFSET('Smelter Reference List'!$I$4,$S867-4,0))</f>
        <v/>
      </c>
      <c r="K867" s="295"/>
      <c r="L867" s="295"/>
      <c r="M867" s="295"/>
      <c r="N867" s="295"/>
      <c r="O867" s="295"/>
      <c r="P867" s="295"/>
      <c r="Q867" s="296"/>
      <c r="R867" s="227"/>
      <c r="S867" s="228" t="e">
        <f>IF(C867="",NA(),MATCH($B867&amp;$C867,'Smelter Reference List'!$J:$J,0))</f>
        <v>#N/A</v>
      </c>
      <c r="T867" s="229"/>
      <c r="U867" s="229">
        <f t="shared" ca="1" si="28"/>
        <v>0</v>
      </c>
      <c r="V867" s="229"/>
      <c r="W867" s="229"/>
      <c r="Y867" s="223" t="str">
        <f t="shared" si="29"/>
        <v/>
      </c>
    </row>
    <row r="868" spans="1:25" s="223" customFormat="1" ht="20.25">
      <c r="A868" s="291"/>
      <c r="B868" s="292" t="str">
        <f>IF(LEN(A868)=0,"",INDEX('Smelter Reference List'!$A:$A,MATCH($A868,'Smelter Reference List'!$E:$E,0)))</f>
        <v/>
      </c>
      <c r="C868" s="298" t="str">
        <f>IF(LEN(A868)=0,"",INDEX('Smelter Reference List'!$C:$C,MATCH($A868,'Smelter Reference List'!$E:$E,0)))</f>
        <v/>
      </c>
      <c r="D868" s="292" t="str">
        <f ca="1">IF(ISERROR($S868),"",OFFSET('Smelter Reference List'!$C$4,$S868-4,0)&amp;"")</f>
        <v/>
      </c>
      <c r="E868" s="292" t="str">
        <f ca="1">IF(ISERROR($S868),"",OFFSET('Smelter Reference List'!$D$4,$S868-4,0)&amp;"")</f>
        <v/>
      </c>
      <c r="F868" s="292" t="str">
        <f ca="1">IF(ISERROR($S868),"",OFFSET('Smelter Reference List'!$E$4,$S868-4,0))</f>
        <v/>
      </c>
      <c r="G868" s="292" t="str">
        <f ca="1">IF(C868=$U$4,"Enter smelter details", IF(ISERROR($S868),"",OFFSET('Smelter Reference List'!$F$4,$S868-4,0)))</f>
        <v/>
      </c>
      <c r="H868" s="293" t="str">
        <f ca="1">IF(ISERROR($S868),"",OFFSET('Smelter Reference List'!$G$4,$S868-4,0))</f>
        <v/>
      </c>
      <c r="I868" s="294" t="str">
        <f ca="1">IF(ISERROR($S868),"",OFFSET('Smelter Reference List'!$H$4,$S868-4,0))</f>
        <v/>
      </c>
      <c r="J868" s="294" t="str">
        <f ca="1">IF(ISERROR($S868),"",OFFSET('Smelter Reference List'!$I$4,$S868-4,0))</f>
        <v/>
      </c>
      <c r="K868" s="295"/>
      <c r="L868" s="295"/>
      <c r="M868" s="295"/>
      <c r="N868" s="295"/>
      <c r="O868" s="295"/>
      <c r="P868" s="295"/>
      <c r="Q868" s="296"/>
      <c r="R868" s="227"/>
      <c r="S868" s="228" t="e">
        <f>IF(C868="",NA(),MATCH($B868&amp;$C868,'Smelter Reference List'!$J:$J,0))</f>
        <v>#N/A</v>
      </c>
      <c r="T868" s="229"/>
      <c r="U868" s="229">
        <f t="shared" ca="1" si="28"/>
        <v>0</v>
      </c>
      <c r="V868" s="229"/>
      <c r="W868" s="229"/>
      <c r="Y868" s="223" t="str">
        <f t="shared" si="29"/>
        <v/>
      </c>
    </row>
    <row r="869" spans="1:25" s="223" customFormat="1" ht="20.25">
      <c r="A869" s="291"/>
      <c r="B869" s="292" t="str">
        <f>IF(LEN(A869)=0,"",INDEX('Smelter Reference List'!$A:$A,MATCH($A869,'Smelter Reference List'!$E:$E,0)))</f>
        <v/>
      </c>
      <c r="C869" s="298" t="str">
        <f>IF(LEN(A869)=0,"",INDEX('Smelter Reference List'!$C:$C,MATCH($A869,'Smelter Reference List'!$E:$E,0)))</f>
        <v/>
      </c>
      <c r="D869" s="292" t="str">
        <f ca="1">IF(ISERROR($S869),"",OFFSET('Smelter Reference List'!$C$4,$S869-4,0)&amp;"")</f>
        <v/>
      </c>
      <c r="E869" s="292" t="str">
        <f ca="1">IF(ISERROR($S869),"",OFFSET('Smelter Reference List'!$D$4,$S869-4,0)&amp;"")</f>
        <v/>
      </c>
      <c r="F869" s="292" t="str">
        <f ca="1">IF(ISERROR($S869),"",OFFSET('Smelter Reference List'!$E$4,$S869-4,0))</f>
        <v/>
      </c>
      <c r="G869" s="292" t="str">
        <f ca="1">IF(C869=$U$4,"Enter smelter details", IF(ISERROR($S869),"",OFFSET('Smelter Reference List'!$F$4,$S869-4,0)))</f>
        <v/>
      </c>
      <c r="H869" s="293" t="str">
        <f ca="1">IF(ISERROR($S869),"",OFFSET('Smelter Reference List'!$G$4,$S869-4,0))</f>
        <v/>
      </c>
      <c r="I869" s="294" t="str">
        <f ca="1">IF(ISERROR($S869),"",OFFSET('Smelter Reference List'!$H$4,$S869-4,0))</f>
        <v/>
      </c>
      <c r="J869" s="294" t="str">
        <f ca="1">IF(ISERROR($S869),"",OFFSET('Smelter Reference List'!$I$4,$S869-4,0))</f>
        <v/>
      </c>
      <c r="K869" s="295"/>
      <c r="L869" s="295"/>
      <c r="M869" s="295"/>
      <c r="N869" s="295"/>
      <c r="O869" s="295"/>
      <c r="P869" s="295"/>
      <c r="Q869" s="296"/>
      <c r="R869" s="227"/>
      <c r="S869" s="228" t="e">
        <f>IF(C869="",NA(),MATCH($B869&amp;$C869,'Smelter Reference List'!$J:$J,0))</f>
        <v>#N/A</v>
      </c>
      <c r="T869" s="229"/>
      <c r="U869" s="229">
        <f t="shared" ca="1" si="28"/>
        <v>0</v>
      </c>
      <c r="V869" s="229"/>
      <c r="W869" s="229"/>
      <c r="Y869" s="223" t="str">
        <f t="shared" si="29"/>
        <v/>
      </c>
    </row>
    <row r="870" spans="1:25" s="223" customFormat="1" ht="20.25">
      <c r="A870" s="291"/>
      <c r="B870" s="292" t="str">
        <f>IF(LEN(A870)=0,"",INDEX('Smelter Reference List'!$A:$A,MATCH($A870,'Smelter Reference List'!$E:$E,0)))</f>
        <v/>
      </c>
      <c r="C870" s="298" t="str">
        <f>IF(LEN(A870)=0,"",INDEX('Smelter Reference List'!$C:$C,MATCH($A870,'Smelter Reference List'!$E:$E,0)))</f>
        <v/>
      </c>
      <c r="D870" s="292" t="str">
        <f ca="1">IF(ISERROR($S870),"",OFFSET('Smelter Reference List'!$C$4,$S870-4,0)&amp;"")</f>
        <v/>
      </c>
      <c r="E870" s="292" t="str">
        <f ca="1">IF(ISERROR($S870),"",OFFSET('Smelter Reference List'!$D$4,$S870-4,0)&amp;"")</f>
        <v/>
      </c>
      <c r="F870" s="292" t="str">
        <f ca="1">IF(ISERROR($S870),"",OFFSET('Smelter Reference List'!$E$4,$S870-4,0))</f>
        <v/>
      </c>
      <c r="G870" s="292" t="str">
        <f ca="1">IF(C870=$U$4,"Enter smelter details", IF(ISERROR($S870),"",OFFSET('Smelter Reference List'!$F$4,$S870-4,0)))</f>
        <v/>
      </c>
      <c r="H870" s="293" t="str">
        <f ca="1">IF(ISERROR($S870),"",OFFSET('Smelter Reference List'!$G$4,$S870-4,0))</f>
        <v/>
      </c>
      <c r="I870" s="294" t="str">
        <f ca="1">IF(ISERROR($S870),"",OFFSET('Smelter Reference List'!$H$4,$S870-4,0))</f>
        <v/>
      </c>
      <c r="J870" s="294" t="str">
        <f ca="1">IF(ISERROR($S870),"",OFFSET('Smelter Reference List'!$I$4,$S870-4,0))</f>
        <v/>
      </c>
      <c r="K870" s="295"/>
      <c r="L870" s="295"/>
      <c r="M870" s="295"/>
      <c r="N870" s="295"/>
      <c r="O870" s="295"/>
      <c r="P870" s="295"/>
      <c r="Q870" s="296"/>
      <c r="R870" s="227"/>
      <c r="S870" s="228" t="e">
        <f>IF(C870="",NA(),MATCH($B870&amp;$C870,'Smelter Reference List'!$J:$J,0))</f>
        <v>#N/A</v>
      </c>
      <c r="T870" s="229"/>
      <c r="U870" s="229">
        <f t="shared" ca="1" si="28"/>
        <v>0</v>
      </c>
      <c r="V870" s="229"/>
      <c r="W870" s="229"/>
      <c r="Y870" s="223" t="str">
        <f t="shared" si="29"/>
        <v/>
      </c>
    </row>
    <row r="871" spans="1:25" s="223" customFormat="1" ht="20.25">
      <c r="A871" s="291"/>
      <c r="B871" s="292" t="str">
        <f>IF(LEN(A871)=0,"",INDEX('Smelter Reference List'!$A:$A,MATCH($A871,'Smelter Reference List'!$E:$E,0)))</f>
        <v/>
      </c>
      <c r="C871" s="298" t="str">
        <f>IF(LEN(A871)=0,"",INDEX('Smelter Reference List'!$C:$C,MATCH($A871,'Smelter Reference List'!$E:$E,0)))</f>
        <v/>
      </c>
      <c r="D871" s="292" t="str">
        <f ca="1">IF(ISERROR($S871),"",OFFSET('Smelter Reference List'!$C$4,$S871-4,0)&amp;"")</f>
        <v/>
      </c>
      <c r="E871" s="292" t="str">
        <f ca="1">IF(ISERROR($S871),"",OFFSET('Smelter Reference List'!$D$4,$S871-4,0)&amp;"")</f>
        <v/>
      </c>
      <c r="F871" s="292" t="str">
        <f ca="1">IF(ISERROR($S871),"",OFFSET('Smelter Reference List'!$E$4,$S871-4,0))</f>
        <v/>
      </c>
      <c r="G871" s="292" t="str">
        <f ca="1">IF(C871=$U$4,"Enter smelter details", IF(ISERROR($S871),"",OFFSET('Smelter Reference List'!$F$4,$S871-4,0)))</f>
        <v/>
      </c>
      <c r="H871" s="293" t="str">
        <f ca="1">IF(ISERROR($S871),"",OFFSET('Smelter Reference List'!$G$4,$S871-4,0))</f>
        <v/>
      </c>
      <c r="I871" s="294" t="str">
        <f ca="1">IF(ISERROR($S871),"",OFFSET('Smelter Reference List'!$H$4,$S871-4,0))</f>
        <v/>
      </c>
      <c r="J871" s="294" t="str">
        <f ca="1">IF(ISERROR($S871),"",OFFSET('Smelter Reference List'!$I$4,$S871-4,0))</f>
        <v/>
      </c>
      <c r="K871" s="295"/>
      <c r="L871" s="295"/>
      <c r="M871" s="295"/>
      <c r="N871" s="295"/>
      <c r="O871" s="295"/>
      <c r="P871" s="295"/>
      <c r="Q871" s="296"/>
      <c r="R871" s="227"/>
      <c r="S871" s="228" t="e">
        <f>IF(C871="",NA(),MATCH($B871&amp;$C871,'Smelter Reference List'!$J:$J,0))</f>
        <v>#N/A</v>
      </c>
      <c r="T871" s="229"/>
      <c r="U871" s="229">
        <f t="shared" ca="1" si="28"/>
        <v>0</v>
      </c>
      <c r="V871" s="229"/>
      <c r="W871" s="229"/>
      <c r="Y871" s="223" t="str">
        <f t="shared" si="29"/>
        <v/>
      </c>
    </row>
    <row r="872" spans="1:25" s="223" customFormat="1" ht="20.25">
      <c r="A872" s="291"/>
      <c r="B872" s="292" t="str">
        <f>IF(LEN(A872)=0,"",INDEX('Smelter Reference List'!$A:$A,MATCH($A872,'Smelter Reference List'!$E:$E,0)))</f>
        <v/>
      </c>
      <c r="C872" s="298" t="str">
        <f>IF(LEN(A872)=0,"",INDEX('Smelter Reference List'!$C:$C,MATCH($A872,'Smelter Reference List'!$E:$E,0)))</f>
        <v/>
      </c>
      <c r="D872" s="292" t="str">
        <f ca="1">IF(ISERROR($S872),"",OFFSET('Smelter Reference List'!$C$4,$S872-4,0)&amp;"")</f>
        <v/>
      </c>
      <c r="E872" s="292" t="str">
        <f ca="1">IF(ISERROR($S872),"",OFFSET('Smelter Reference List'!$D$4,$S872-4,0)&amp;"")</f>
        <v/>
      </c>
      <c r="F872" s="292" t="str">
        <f ca="1">IF(ISERROR($S872),"",OFFSET('Smelter Reference List'!$E$4,$S872-4,0))</f>
        <v/>
      </c>
      <c r="G872" s="292" t="str">
        <f ca="1">IF(C872=$U$4,"Enter smelter details", IF(ISERROR($S872),"",OFFSET('Smelter Reference List'!$F$4,$S872-4,0)))</f>
        <v/>
      </c>
      <c r="H872" s="293" t="str">
        <f ca="1">IF(ISERROR($S872),"",OFFSET('Smelter Reference List'!$G$4,$S872-4,0))</f>
        <v/>
      </c>
      <c r="I872" s="294" t="str">
        <f ca="1">IF(ISERROR($S872),"",OFFSET('Smelter Reference List'!$H$4,$S872-4,0))</f>
        <v/>
      </c>
      <c r="J872" s="294" t="str">
        <f ca="1">IF(ISERROR($S872),"",OFFSET('Smelter Reference List'!$I$4,$S872-4,0))</f>
        <v/>
      </c>
      <c r="K872" s="295"/>
      <c r="L872" s="295"/>
      <c r="M872" s="295"/>
      <c r="N872" s="295"/>
      <c r="O872" s="295"/>
      <c r="P872" s="295"/>
      <c r="Q872" s="296"/>
      <c r="R872" s="227"/>
      <c r="S872" s="228" t="e">
        <f>IF(C872="",NA(),MATCH($B872&amp;$C872,'Smelter Reference List'!$J:$J,0))</f>
        <v>#N/A</v>
      </c>
      <c r="T872" s="229"/>
      <c r="U872" s="229">
        <f t="shared" ca="1" si="28"/>
        <v>0</v>
      </c>
      <c r="V872" s="229"/>
      <c r="W872" s="229"/>
      <c r="Y872" s="223" t="str">
        <f t="shared" si="29"/>
        <v/>
      </c>
    </row>
    <row r="873" spans="1:25" s="223" customFormat="1" ht="20.25">
      <c r="A873" s="291"/>
      <c r="B873" s="292" t="str">
        <f>IF(LEN(A873)=0,"",INDEX('Smelter Reference List'!$A:$A,MATCH($A873,'Smelter Reference List'!$E:$E,0)))</f>
        <v/>
      </c>
      <c r="C873" s="298" t="str">
        <f>IF(LEN(A873)=0,"",INDEX('Smelter Reference List'!$C:$C,MATCH($A873,'Smelter Reference List'!$E:$E,0)))</f>
        <v/>
      </c>
      <c r="D873" s="292" t="str">
        <f ca="1">IF(ISERROR($S873),"",OFFSET('Smelter Reference List'!$C$4,$S873-4,0)&amp;"")</f>
        <v/>
      </c>
      <c r="E873" s="292" t="str">
        <f ca="1">IF(ISERROR($S873),"",OFFSET('Smelter Reference List'!$D$4,$S873-4,0)&amp;"")</f>
        <v/>
      </c>
      <c r="F873" s="292" t="str">
        <f ca="1">IF(ISERROR($S873),"",OFFSET('Smelter Reference List'!$E$4,$S873-4,0))</f>
        <v/>
      </c>
      <c r="G873" s="292" t="str">
        <f ca="1">IF(C873=$U$4,"Enter smelter details", IF(ISERROR($S873),"",OFFSET('Smelter Reference List'!$F$4,$S873-4,0)))</f>
        <v/>
      </c>
      <c r="H873" s="293" t="str">
        <f ca="1">IF(ISERROR($S873),"",OFFSET('Smelter Reference List'!$G$4,$S873-4,0))</f>
        <v/>
      </c>
      <c r="I873" s="294" t="str">
        <f ca="1">IF(ISERROR($S873),"",OFFSET('Smelter Reference List'!$H$4,$S873-4,0))</f>
        <v/>
      </c>
      <c r="J873" s="294" t="str">
        <f ca="1">IF(ISERROR($S873),"",OFFSET('Smelter Reference List'!$I$4,$S873-4,0))</f>
        <v/>
      </c>
      <c r="K873" s="295"/>
      <c r="L873" s="295"/>
      <c r="M873" s="295"/>
      <c r="N873" s="295"/>
      <c r="O873" s="295"/>
      <c r="P873" s="295"/>
      <c r="Q873" s="296"/>
      <c r="R873" s="227"/>
      <c r="S873" s="228" t="e">
        <f>IF(C873="",NA(),MATCH($B873&amp;$C873,'Smelter Reference List'!$J:$J,0))</f>
        <v>#N/A</v>
      </c>
      <c r="T873" s="229"/>
      <c r="U873" s="229">
        <f t="shared" ca="1" si="28"/>
        <v>0</v>
      </c>
      <c r="V873" s="229"/>
      <c r="W873" s="229"/>
      <c r="Y873" s="223" t="str">
        <f t="shared" si="29"/>
        <v/>
      </c>
    </row>
    <row r="874" spans="1:25" s="223" customFormat="1" ht="20.25">
      <c r="A874" s="291"/>
      <c r="B874" s="292" t="str">
        <f>IF(LEN(A874)=0,"",INDEX('Smelter Reference List'!$A:$A,MATCH($A874,'Smelter Reference List'!$E:$E,0)))</f>
        <v/>
      </c>
      <c r="C874" s="298" t="str">
        <f>IF(LEN(A874)=0,"",INDEX('Smelter Reference List'!$C:$C,MATCH($A874,'Smelter Reference List'!$E:$E,0)))</f>
        <v/>
      </c>
      <c r="D874" s="292" t="str">
        <f ca="1">IF(ISERROR($S874),"",OFFSET('Smelter Reference List'!$C$4,$S874-4,0)&amp;"")</f>
        <v/>
      </c>
      <c r="E874" s="292" t="str">
        <f ca="1">IF(ISERROR($S874),"",OFFSET('Smelter Reference List'!$D$4,$S874-4,0)&amp;"")</f>
        <v/>
      </c>
      <c r="F874" s="292" t="str">
        <f ca="1">IF(ISERROR($S874),"",OFFSET('Smelter Reference List'!$E$4,$S874-4,0))</f>
        <v/>
      </c>
      <c r="G874" s="292" t="str">
        <f ca="1">IF(C874=$U$4,"Enter smelter details", IF(ISERROR($S874),"",OFFSET('Smelter Reference List'!$F$4,$S874-4,0)))</f>
        <v/>
      </c>
      <c r="H874" s="293" t="str">
        <f ca="1">IF(ISERROR($S874),"",OFFSET('Smelter Reference List'!$G$4,$S874-4,0))</f>
        <v/>
      </c>
      <c r="I874" s="294" t="str">
        <f ca="1">IF(ISERROR($S874),"",OFFSET('Smelter Reference List'!$H$4,$S874-4,0))</f>
        <v/>
      </c>
      <c r="J874" s="294" t="str">
        <f ca="1">IF(ISERROR($S874),"",OFFSET('Smelter Reference List'!$I$4,$S874-4,0))</f>
        <v/>
      </c>
      <c r="K874" s="295"/>
      <c r="L874" s="295"/>
      <c r="M874" s="295"/>
      <c r="N874" s="295"/>
      <c r="O874" s="295"/>
      <c r="P874" s="295"/>
      <c r="Q874" s="296"/>
      <c r="R874" s="227"/>
      <c r="S874" s="228" t="e">
        <f>IF(C874="",NA(),MATCH($B874&amp;$C874,'Smelter Reference List'!$J:$J,0))</f>
        <v>#N/A</v>
      </c>
      <c r="T874" s="229"/>
      <c r="U874" s="229">
        <f t="shared" ca="1" si="28"/>
        <v>0</v>
      </c>
      <c r="V874" s="229"/>
      <c r="W874" s="229"/>
      <c r="Y874" s="223" t="str">
        <f t="shared" si="29"/>
        <v/>
      </c>
    </row>
    <row r="875" spans="1:25" s="223" customFormat="1" ht="20.25">
      <c r="A875" s="291"/>
      <c r="B875" s="292" t="str">
        <f>IF(LEN(A875)=0,"",INDEX('Smelter Reference List'!$A:$A,MATCH($A875,'Smelter Reference List'!$E:$E,0)))</f>
        <v/>
      </c>
      <c r="C875" s="298" t="str">
        <f>IF(LEN(A875)=0,"",INDEX('Smelter Reference List'!$C:$C,MATCH($A875,'Smelter Reference List'!$E:$E,0)))</f>
        <v/>
      </c>
      <c r="D875" s="292" t="str">
        <f ca="1">IF(ISERROR($S875),"",OFFSET('Smelter Reference List'!$C$4,$S875-4,0)&amp;"")</f>
        <v/>
      </c>
      <c r="E875" s="292" t="str">
        <f ca="1">IF(ISERROR($S875),"",OFFSET('Smelter Reference List'!$D$4,$S875-4,0)&amp;"")</f>
        <v/>
      </c>
      <c r="F875" s="292" t="str">
        <f ca="1">IF(ISERROR($S875),"",OFFSET('Smelter Reference List'!$E$4,$S875-4,0))</f>
        <v/>
      </c>
      <c r="G875" s="292" t="str">
        <f ca="1">IF(C875=$U$4,"Enter smelter details", IF(ISERROR($S875),"",OFFSET('Smelter Reference List'!$F$4,$S875-4,0)))</f>
        <v/>
      </c>
      <c r="H875" s="293" t="str">
        <f ca="1">IF(ISERROR($S875),"",OFFSET('Smelter Reference List'!$G$4,$S875-4,0))</f>
        <v/>
      </c>
      <c r="I875" s="294" t="str">
        <f ca="1">IF(ISERROR($S875),"",OFFSET('Smelter Reference List'!$H$4,$S875-4,0))</f>
        <v/>
      </c>
      <c r="J875" s="294" t="str">
        <f ca="1">IF(ISERROR($S875),"",OFFSET('Smelter Reference List'!$I$4,$S875-4,0))</f>
        <v/>
      </c>
      <c r="K875" s="295"/>
      <c r="L875" s="295"/>
      <c r="M875" s="295"/>
      <c r="N875" s="295"/>
      <c r="O875" s="295"/>
      <c r="P875" s="295"/>
      <c r="Q875" s="296"/>
      <c r="R875" s="227"/>
      <c r="S875" s="228" t="e">
        <f>IF(C875="",NA(),MATCH($B875&amp;$C875,'Smelter Reference List'!$J:$J,0))</f>
        <v>#N/A</v>
      </c>
      <c r="T875" s="229"/>
      <c r="U875" s="229">
        <f t="shared" ca="1" si="28"/>
        <v>0</v>
      </c>
      <c r="V875" s="229"/>
      <c r="W875" s="229"/>
      <c r="Y875" s="223" t="str">
        <f t="shared" si="29"/>
        <v/>
      </c>
    </row>
    <row r="876" spans="1:25" s="223" customFormat="1" ht="20.25">
      <c r="A876" s="291"/>
      <c r="B876" s="292" t="str">
        <f>IF(LEN(A876)=0,"",INDEX('Smelter Reference List'!$A:$A,MATCH($A876,'Smelter Reference List'!$E:$E,0)))</f>
        <v/>
      </c>
      <c r="C876" s="298" t="str">
        <f>IF(LEN(A876)=0,"",INDEX('Smelter Reference List'!$C:$C,MATCH($A876,'Smelter Reference List'!$E:$E,0)))</f>
        <v/>
      </c>
      <c r="D876" s="292" t="str">
        <f ca="1">IF(ISERROR($S876),"",OFFSET('Smelter Reference List'!$C$4,$S876-4,0)&amp;"")</f>
        <v/>
      </c>
      <c r="E876" s="292" t="str">
        <f ca="1">IF(ISERROR($S876),"",OFFSET('Smelter Reference List'!$D$4,$S876-4,0)&amp;"")</f>
        <v/>
      </c>
      <c r="F876" s="292" t="str">
        <f ca="1">IF(ISERROR($S876),"",OFFSET('Smelter Reference List'!$E$4,$S876-4,0))</f>
        <v/>
      </c>
      <c r="G876" s="292" t="str">
        <f ca="1">IF(C876=$U$4,"Enter smelter details", IF(ISERROR($S876),"",OFFSET('Smelter Reference List'!$F$4,$S876-4,0)))</f>
        <v/>
      </c>
      <c r="H876" s="293" t="str">
        <f ca="1">IF(ISERROR($S876),"",OFFSET('Smelter Reference List'!$G$4,$S876-4,0))</f>
        <v/>
      </c>
      <c r="I876" s="294" t="str">
        <f ca="1">IF(ISERROR($S876),"",OFFSET('Smelter Reference List'!$H$4,$S876-4,0))</f>
        <v/>
      </c>
      <c r="J876" s="294" t="str">
        <f ca="1">IF(ISERROR($S876),"",OFFSET('Smelter Reference List'!$I$4,$S876-4,0))</f>
        <v/>
      </c>
      <c r="K876" s="295"/>
      <c r="L876" s="295"/>
      <c r="M876" s="295"/>
      <c r="N876" s="295"/>
      <c r="O876" s="295"/>
      <c r="P876" s="295"/>
      <c r="Q876" s="296"/>
      <c r="R876" s="227"/>
      <c r="S876" s="228" t="e">
        <f>IF(C876="",NA(),MATCH($B876&amp;$C876,'Smelter Reference List'!$J:$J,0))</f>
        <v>#N/A</v>
      </c>
      <c r="T876" s="229"/>
      <c r="U876" s="229">
        <f t="shared" ca="1" si="28"/>
        <v>0</v>
      </c>
      <c r="V876" s="229"/>
      <c r="W876" s="229"/>
      <c r="Y876" s="223" t="str">
        <f t="shared" si="29"/>
        <v/>
      </c>
    </row>
    <row r="877" spans="1:25" s="223" customFormat="1" ht="20.25">
      <c r="A877" s="291"/>
      <c r="B877" s="292" t="str">
        <f>IF(LEN(A877)=0,"",INDEX('Smelter Reference List'!$A:$A,MATCH($A877,'Smelter Reference List'!$E:$E,0)))</f>
        <v/>
      </c>
      <c r="C877" s="298" t="str">
        <f>IF(LEN(A877)=0,"",INDEX('Smelter Reference List'!$C:$C,MATCH($A877,'Smelter Reference List'!$E:$E,0)))</f>
        <v/>
      </c>
      <c r="D877" s="292" t="str">
        <f ca="1">IF(ISERROR($S877),"",OFFSET('Smelter Reference List'!$C$4,$S877-4,0)&amp;"")</f>
        <v/>
      </c>
      <c r="E877" s="292" t="str">
        <f ca="1">IF(ISERROR($S877),"",OFFSET('Smelter Reference List'!$D$4,$S877-4,0)&amp;"")</f>
        <v/>
      </c>
      <c r="F877" s="292" t="str">
        <f ca="1">IF(ISERROR($S877),"",OFFSET('Smelter Reference List'!$E$4,$S877-4,0))</f>
        <v/>
      </c>
      <c r="G877" s="292" t="str">
        <f ca="1">IF(C877=$U$4,"Enter smelter details", IF(ISERROR($S877),"",OFFSET('Smelter Reference List'!$F$4,$S877-4,0)))</f>
        <v/>
      </c>
      <c r="H877" s="293" t="str">
        <f ca="1">IF(ISERROR($S877),"",OFFSET('Smelter Reference List'!$G$4,$S877-4,0))</f>
        <v/>
      </c>
      <c r="I877" s="294" t="str">
        <f ca="1">IF(ISERROR($S877),"",OFFSET('Smelter Reference List'!$H$4,$S877-4,0))</f>
        <v/>
      </c>
      <c r="J877" s="294" t="str">
        <f ca="1">IF(ISERROR($S877),"",OFFSET('Smelter Reference List'!$I$4,$S877-4,0))</f>
        <v/>
      </c>
      <c r="K877" s="295"/>
      <c r="L877" s="295"/>
      <c r="M877" s="295"/>
      <c r="N877" s="295"/>
      <c r="O877" s="295"/>
      <c r="P877" s="295"/>
      <c r="Q877" s="296"/>
      <c r="R877" s="227"/>
      <c r="S877" s="228" t="e">
        <f>IF(C877="",NA(),MATCH($B877&amp;$C877,'Smelter Reference List'!$J:$J,0))</f>
        <v>#N/A</v>
      </c>
      <c r="T877" s="229"/>
      <c r="U877" s="229">
        <f t="shared" ca="1" si="28"/>
        <v>0</v>
      </c>
      <c r="V877" s="229"/>
      <c r="W877" s="229"/>
      <c r="Y877" s="223" t="str">
        <f t="shared" si="29"/>
        <v/>
      </c>
    </row>
    <row r="878" spans="1:25" s="223" customFormat="1" ht="20.25">
      <c r="A878" s="291"/>
      <c r="B878" s="292" t="str">
        <f>IF(LEN(A878)=0,"",INDEX('Smelter Reference List'!$A:$A,MATCH($A878,'Smelter Reference List'!$E:$E,0)))</f>
        <v/>
      </c>
      <c r="C878" s="298" t="str">
        <f>IF(LEN(A878)=0,"",INDEX('Smelter Reference List'!$C:$C,MATCH($A878,'Smelter Reference List'!$E:$E,0)))</f>
        <v/>
      </c>
      <c r="D878" s="292" t="str">
        <f ca="1">IF(ISERROR($S878),"",OFFSET('Smelter Reference List'!$C$4,$S878-4,0)&amp;"")</f>
        <v/>
      </c>
      <c r="E878" s="292" t="str">
        <f ca="1">IF(ISERROR($S878),"",OFFSET('Smelter Reference List'!$D$4,$S878-4,0)&amp;"")</f>
        <v/>
      </c>
      <c r="F878" s="292" t="str">
        <f ca="1">IF(ISERROR($S878),"",OFFSET('Smelter Reference List'!$E$4,$S878-4,0))</f>
        <v/>
      </c>
      <c r="G878" s="292" t="str">
        <f ca="1">IF(C878=$U$4,"Enter smelter details", IF(ISERROR($S878),"",OFFSET('Smelter Reference List'!$F$4,$S878-4,0)))</f>
        <v/>
      </c>
      <c r="H878" s="293" t="str">
        <f ca="1">IF(ISERROR($S878),"",OFFSET('Smelter Reference List'!$G$4,$S878-4,0))</f>
        <v/>
      </c>
      <c r="I878" s="294" t="str">
        <f ca="1">IF(ISERROR($S878),"",OFFSET('Smelter Reference List'!$H$4,$S878-4,0))</f>
        <v/>
      </c>
      <c r="J878" s="294" t="str">
        <f ca="1">IF(ISERROR($S878),"",OFFSET('Smelter Reference List'!$I$4,$S878-4,0))</f>
        <v/>
      </c>
      <c r="K878" s="295"/>
      <c r="L878" s="295"/>
      <c r="M878" s="295"/>
      <c r="N878" s="295"/>
      <c r="O878" s="295"/>
      <c r="P878" s="295"/>
      <c r="Q878" s="296"/>
      <c r="R878" s="227"/>
      <c r="S878" s="228" t="e">
        <f>IF(C878="",NA(),MATCH($B878&amp;$C878,'Smelter Reference List'!$J:$J,0))</f>
        <v>#N/A</v>
      </c>
      <c r="T878" s="229"/>
      <c r="U878" s="229">
        <f t="shared" ca="1" si="28"/>
        <v>0</v>
      </c>
      <c r="V878" s="229"/>
      <c r="W878" s="229"/>
      <c r="Y878" s="223" t="str">
        <f t="shared" si="29"/>
        <v/>
      </c>
    </row>
    <row r="879" spans="1:25" s="223" customFormat="1" ht="20.25">
      <c r="A879" s="291"/>
      <c r="B879" s="292" t="str">
        <f>IF(LEN(A879)=0,"",INDEX('Smelter Reference List'!$A:$A,MATCH($A879,'Smelter Reference List'!$E:$E,0)))</f>
        <v/>
      </c>
      <c r="C879" s="298" t="str">
        <f>IF(LEN(A879)=0,"",INDEX('Smelter Reference List'!$C:$C,MATCH($A879,'Smelter Reference List'!$E:$E,0)))</f>
        <v/>
      </c>
      <c r="D879" s="292" t="str">
        <f ca="1">IF(ISERROR($S879),"",OFFSET('Smelter Reference List'!$C$4,$S879-4,0)&amp;"")</f>
        <v/>
      </c>
      <c r="E879" s="292" t="str">
        <f ca="1">IF(ISERROR($S879),"",OFFSET('Smelter Reference List'!$D$4,$S879-4,0)&amp;"")</f>
        <v/>
      </c>
      <c r="F879" s="292" t="str">
        <f ca="1">IF(ISERROR($S879),"",OFFSET('Smelter Reference List'!$E$4,$S879-4,0))</f>
        <v/>
      </c>
      <c r="G879" s="292" t="str">
        <f ca="1">IF(C879=$U$4,"Enter smelter details", IF(ISERROR($S879),"",OFFSET('Smelter Reference List'!$F$4,$S879-4,0)))</f>
        <v/>
      </c>
      <c r="H879" s="293" t="str">
        <f ca="1">IF(ISERROR($S879),"",OFFSET('Smelter Reference List'!$G$4,$S879-4,0))</f>
        <v/>
      </c>
      <c r="I879" s="294" t="str">
        <f ca="1">IF(ISERROR($S879),"",OFFSET('Smelter Reference List'!$H$4,$S879-4,0))</f>
        <v/>
      </c>
      <c r="J879" s="294" t="str">
        <f ca="1">IF(ISERROR($S879),"",OFFSET('Smelter Reference List'!$I$4,$S879-4,0))</f>
        <v/>
      </c>
      <c r="K879" s="295"/>
      <c r="L879" s="295"/>
      <c r="M879" s="295"/>
      <c r="N879" s="295"/>
      <c r="O879" s="295"/>
      <c r="P879" s="295"/>
      <c r="Q879" s="296"/>
      <c r="R879" s="227"/>
      <c r="S879" s="228" t="e">
        <f>IF(C879="",NA(),MATCH($B879&amp;$C879,'Smelter Reference List'!$J:$J,0))</f>
        <v>#N/A</v>
      </c>
      <c r="T879" s="229"/>
      <c r="U879" s="229">
        <f t="shared" ca="1" si="28"/>
        <v>0</v>
      </c>
      <c r="V879" s="229"/>
      <c r="W879" s="229"/>
      <c r="Y879" s="223" t="str">
        <f t="shared" si="29"/>
        <v/>
      </c>
    </row>
    <row r="880" spans="1:25" s="223" customFormat="1" ht="20.25">
      <c r="A880" s="291"/>
      <c r="B880" s="292" t="str">
        <f>IF(LEN(A880)=0,"",INDEX('Smelter Reference List'!$A:$A,MATCH($A880,'Smelter Reference List'!$E:$E,0)))</f>
        <v/>
      </c>
      <c r="C880" s="298" t="str">
        <f>IF(LEN(A880)=0,"",INDEX('Smelter Reference List'!$C:$C,MATCH($A880,'Smelter Reference List'!$E:$E,0)))</f>
        <v/>
      </c>
      <c r="D880" s="292" t="str">
        <f ca="1">IF(ISERROR($S880),"",OFFSET('Smelter Reference List'!$C$4,$S880-4,0)&amp;"")</f>
        <v/>
      </c>
      <c r="E880" s="292" t="str">
        <f ca="1">IF(ISERROR($S880),"",OFFSET('Smelter Reference List'!$D$4,$S880-4,0)&amp;"")</f>
        <v/>
      </c>
      <c r="F880" s="292" t="str">
        <f ca="1">IF(ISERROR($S880),"",OFFSET('Smelter Reference List'!$E$4,$S880-4,0))</f>
        <v/>
      </c>
      <c r="G880" s="292" t="str">
        <f ca="1">IF(C880=$U$4,"Enter smelter details", IF(ISERROR($S880),"",OFFSET('Smelter Reference List'!$F$4,$S880-4,0)))</f>
        <v/>
      </c>
      <c r="H880" s="293" t="str">
        <f ca="1">IF(ISERROR($S880),"",OFFSET('Smelter Reference List'!$G$4,$S880-4,0))</f>
        <v/>
      </c>
      <c r="I880" s="294" t="str">
        <f ca="1">IF(ISERROR($S880),"",OFFSET('Smelter Reference List'!$H$4,$S880-4,0))</f>
        <v/>
      </c>
      <c r="J880" s="294" t="str">
        <f ca="1">IF(ISERROR($S880),"",OFFSET('Smelter Reference List'!$I$4,$S880-4,0))</f>
        <v/>
      </c>
      <c r="K880" s="295"/>
      <c r="L880" s="295"/>
      <c r="M880" s="295"/>
      <c r="N880" s="295"/>
      <c r="O880" s="295"/>
      <c r="P880" s="295"/>
      <c r="Q880" s="296"/>
      <c r="R880" s="227"/>
      <c r="S880" s="228" t="e">
        <f>IF(C880="",NA(),MATCH($B880&amp;$C880,'Smelter Reference List'!$J:$J,0))</f>
        <v>#N/A</v>
      </c>
      <c r="T880" s="229"/>
      <c r="U880" s="229">
        <f t="shared" ca="1" si="28"/>
        <v>0</v>
      </c>
      <c r="V880" s="229"/>
      <c r="W880" s="229"/>
      <c r="Y880" s="223" t="str">
        <f t="shared" si="29"/>
        <v/>
      </c>
    </row>
    <row r="881" spans="1:25" s="223" customFormat="1" ht="20.25">
      <c r="A881" s="291"/>
      <c r="B881" s="292" t="str">
        <f>IF(LEN(A881)=0,"",INDEX('Smelter Reference List'!$A:$A,MATCH($A881,'Smelter Reference List'!$E:$E,0)))</f>
        <v/>
      </c>
      <c r="C881" s="298" t="str">
        <f>IF(LEN(A881)=0,"",INDEX('Smelter Reference List'!$C:$C,MATCH($A881,'Smelter Reference List'!$E:$E,0)))</f>
        <v/>
      </c>
      <c r="D881" s="292" t="str">
        <f ca="1">IF(ISERROR($S881),"",OFFSET('Smelter Reference List'!$C$4,$S881-4,0)&amp;"")</f>
        <v/>
      </c>
      <c r="E881" s="292" t="str">
        <f ca="1">IF(ISERROR($S881),"",OFFSET('Smelter Reference List'!$D$4,$S881-4,0)&amp;"")</f>
        <v/>
      </c>
      <c r="F881" s="292" t="str">
        <f ca="1">IF(ISERROR($S881),"",OFFSET('Smelter Reference List'!$E$4,$S881-4,0))</f>
        <v/>
      </c>
      <c r="G881" s="292" t="str">
        <f ca="1">IF(C881=$U$4,"Enter smelter details", IF(ISERROR($S881),"",OFFSET('Smelter Reference List'!$F$4,$S881-4,0)))</f>
        <v/>
      </c>
      <c r="H881" s="293" t="str">
        <f ca="1">IF(ISERROR($S881),"",OFFSET('Smelter Reference List'!$G$4,$S881-4,0))</f>
        <v/>
      </c>
      <c r="I881" s="294" t="str">
        <f ca="1">IF(ISERROR($S881),"",OFFSET('Smelter Reference List'!$H$4,$S881-4,0))</f>
        <v/>
      </c>
      <c r="J881" s="294" t="str">
        <f ca="1">IF(ISERROR($S881),"",OFFSET('Smelter Reference List'!$I$4,$S881-4,0))</f>
        <v/>
      </c>
      <c r="K881" s="295"/>
      <c r="L881" s="295"/>
      <c r="M881" s="295"/>
      <c r="N881" s="295"/>
      <c r="O881" s="295"/>
      <c r="P881" s="295"/>
      <c r="Q881" s="296"/>
      <c r="R881" s="227"/>
      <c r="S881" s="228" t="e">
        <f>IF(C881="",NA(),MATCH($B881&amp;$C881,'Smelter Reference List'!$J:$J,0))</f>
        <v>#N/A</v>
      </c>
      <c r="T881" s="229"/>
      <c r="U881" s="229">
        <f t="shared" ca="1" si="28"/>
        <v>0</v>
      </c>
      <c r="V881" s="229"/>
      <c r="W881" s="229"/>
      <c r="Y881" s="223" t="str">
        <f t="shared" si="29"/>
        <v/>
      </c>
    </row>
    <row r="882" spans="1:25" s="223" customFormat="1" ht="20.25">
      <c r="A882" s="291"/>
      <c r="B882" s="292" t="str">
        <f>IF(LEN(A882)=0,"",INDEX('Smelter Reference List'!$A:$A,MATCH($A882,'Smelter Reference List'!$E:$E,0)))</f>
        <v/>
      </c>
      <c r="C882" s="298" t="str">
        <f>IF(LEN(A882)=0,"",INDEX('Smelter Reference List'!$C:$C,MATCH($A882,'Smelter Reference List'!$E:$E,0)))</f>
        <v/>
      </c>
      <c r="D882" s="292" t="str">
        <f ca="1">IF(ISERROR($S882),"",OFFSET('Smelter Reference List'!$C$4,$S882-4,0)&amp;"")</f>
        <v/>
      </c>
      <c r="E882" s="292" t="str">
        <f ca="1">IF(ISERROR($S882),"",OFFSET('Smelter Reference List'!$D$4,$S882-4,0)&amp;"")</f>
        <v/>
      </c>
      <c r="F882" s="292" t="str">
        <f ca="1">IF(ISERROR($S882),"",OFFSET('Smelter Reference List'!$E$4,$S882-4,0))</f>
        <v/>
      </c>
      <c r="G882" s="292" t="str">
        <f ca="1">IF(C882=$U$4,"Enter smelter details", IF(ISERROR($S882),"",OFFSET('Smelter Reference List'!$F$4,$S882-4,0)))</f>
        <v/>
      </c>
      <c r="H882" s="293" t="str">
        <f ca="1">IF(ISERROR($S882),"",OFFSET('Smelter Reference List'!$G$4,$S882-4,0))</f>
        <v/>
      </c>
      <c r="I882" s="294" t="str">
        <f ca="1">IF(ISERROR($S882),"",OFFSET('Smelter Reference List'!$H$4,$S882-4,0))</f>
        <v/>
      </c>
      <c r="J882" s="294" t="str">
        <f ca="1">IF(ISERROR($S882),"",OFFSET('Smelter Reference List'!$I$4,$S882-4,0))</f>
        <v/>
      </c>
      <c r="K882" s="295"/>
      <c r="L882" s="295"/>
      <c r="M882" s="295"/>
      <c r="N882" s="295"/>
      <c r="O882" s="295"/>
      <c r="P882" s="295"/>
      <c r="Q882" s="296"/>
      <c r="R882" s="227"/>
      <c r="S882" s="228" t="e">
        <f>IF(C882="",NA(),MATCH($B882&amp;$C882,'Smelter Reference List'!$J:$J,0))</f>
        <v>#N/A</v>
      </c>
      <c r="T882" s="229"/>
      <c r="U882" s="229">
        <f t="shared" ca="1" si="28"/>
        <v>0</v>
      </c>
      <c r="V882" s="229"/>
      <c r="W882" s="229"/>
      <c r="Y882" s="223" t="str">
        <f t="shared" si="29"/>
        <v/>
      </c>
    </row>
    <row r="883" spans="1:25" s="223" customFormat="1" ht="20.25">
      <c r="A883" s="291"/>
      <c r="B883" s="292" t="str">
        <f>IF(LEN(A883)=0,"",INDEX('Smelter Reference List'!$A:$A,MATCH($A883,'Smelter Reference List'!$E:$E,0)))</f>
        <v/>
      </c>
      <c r="C883" s="298" t="str">
        <f>IF(LEN(A883)=0,"",INDEX('Smelter Reference List'!$C:$C,MATCH($A883,'Smelter Reference List'!$E:$E,0)))</f>
        <v/>
      </c>
      <c r="D883" s="292" t="str">
        <f ca="1">IF(ISERROR($S883),"",OFFSET('Smelter Reference List'!$C$4,$S883-4,0)&amp;"")</f>
        <v/>
      </c>
      <c r="E883" s="292" t="str">
        <f ca="1">IF(ISERROR($S883),"",OFFSET('Smelter Reference List'!$D$4,$S883-4,0)&amp;"")</f>
        <v/>
      </c>
      <c r="F883" s="292" t="str">
        <f ca="1">IF(ISERROR($S883),"",OFFSET('Smelter Reference List'!$E$4,$S883-4,0))</f>
        <v/>
      </c>
      <c r="G883" s="292" t="str">
        <f ca="1">IF(C883=$U$4,"Enter smelter details", IF(ISERROR($S883),"",OFFSET('Smelter Reference List'!$F$4,$S883-4,0)))</f>
        <v/>
      </c>
      <c r="H883" s="293" t="str">
        <f ca="1">IF(ISERROR($S883),"",OFFSET('Smelter Reference List'!$G$4,$S883-4,0))</f>
        <v/>
      </c>
      <c r="I883" s="294" t="str">
        <f ca="1">IF(ISERROR($S883),"",OFFSET('Smelter Reference List'!$H$4,$S883-4,0))</f>
        <v/>
      </c>
      <c r="J883" s="294" t="str">
        <f ca="1">IF(ISERROR($S883),"",OFFSET('Smelter Reference List'!$I$4,$S883-4,0))</f>
        <v/>
      </c>
      <c r="K883" s="295"/>
      <c r="L883" s="295"/>
      <c r="M883" s="295"/>
      <c r="N883" s="295"/>
      <c r="O883" s="295"/>
      <c r="P883" s="295"/>
      <c r="Q883" s="296"/>
      <c r="R883" s="227"/>
      <c r="S883" s="228" t="e">
        <f>IF(C883="",NA(),MATCH($B883&amp;$C883,'Smelter Reference List'!$J:$J,0))</f>
        <v>#N/A</v>
      </c>
      <c r="T883" s="229"/>
      <c r="U883" s="229">
        <f t="shared" ca="1" si="28"/>
        <v>0</v>
      </c>
      <c r="V883" s="229"/>
      <c r="W883" s="229"/>
      <c r="Y883" s="223" t="str">
        <f t="shared" si="29"/>
        <v/>
      </c>
    </row>
    <row r="884" spans="1:25" s="223" customFormat="1" ht="20.25">
      <c r="A884" s="291"/>
      <c r="B884" s="292" t="str">
        <f>IF(LEN(A884)=0,"",INDEX('Smelter Reference List'!$A:$A,MATCH($A884,'Smelter Reference List'!$E:$E,0)))</f>
        <v/>
      </c>
      <c r="C884" s="298" t="str">
        <f>IF(LEN(A884)=0,"",INDEX('Smelter Reference List'!$C:$C,MATCH($A884,'Smelter Reference List'!$E:$E,0)))</f>
        <v/>
      </c>
      <c r="D884" s="292" t="str">
        <f ca="1">IF(ISERROR($S884),"",OFFSET('Smelter Reference List'!$C$4,$S884-4,0)&amp;"")</f>
        <v/>
      </c>
      <c r="E884" s="292" t="str">
        <f ca="1">IF(ISERROR($S884),"",OFFSET('Smelter Reference List'!$D$4,$S884-4,0)&amp;"")</f>
        <v/>
      </c>
      <c r="F884" s="292" t="str">
        <f ca="1">IF(ISERROR($S884),"",OFFSET('Smelter Reference List'!$E$4,$S884-4,0))</f>
        <v/>
      </c>
      <c r="G884" s="292" t="str">
        <f ca="1">IF(C884=$U$4,"Enter smelter details", IF(ISERROR($S884),"",OFFSET('Smelter Reference List'!$F$4,$S884-4,0)))</f>
        <v/>
      </c>
      <c r="H884" s="293" t="str">
        <f ca="1">IF(ISERROR($S884),"",OFFSET('Smelter Reference List'!$G$4,$S884-4,0))</f>
        <v/>
      </c>
      <c r="I884" s="294" t="str">
        <f ca="1">IF(ISERROR($S884),"",OFFSET('Smelter Reference List'!$H$4,$S884-4,0))</f>
        <v/>
      </c>
      <c r="J884" s="294" t="str">
        <f ca="1">IF(ISERROR($S884),"",OFFSET('Smelter Reference List'!$I$4,$S884-4,0))</f>
        <v/>
      </c>
      <c r="K884" s="295"/>
      <c r="L884" s="295"/>
      <c r="M884" s="295"/>
      <c r="N884" s="295"/>
      <c r="O884" s="295"/>
      <c r="P884" s="295"/>
      <c r="Q884" s="296"/>
      <c r="R884" s="227"/>
      <c r="S884" s="228" t="e">
        <f>IF(C884="",NA(),MATCH($B884&amp;$C884,'Smelter Reference List'!$J:$J,0))</f>
        <v>#N/A</v>
      </c>
      <c r="T884" s="229"/>
      <c r="U884" s="229">
        <f t="shared" ca="1" si="28"/>
        <v>0</v>
      </c>
      <c r="V884" s="229"/>
      <c r="W884" s="229"/>
      <c r="Y884" s="223" t="str">
        <f t="shared" si="29"/>
        <v/>
      </c>
    </row>
    <row r="885" spans="1:25" s="223" customFormat="1" ht="20.25">
      <c r="A885" s="291"/>
      <c r="B885" s="292" t="str">
        <f>IF(LEN(A885)=0,"",INDEX('Smelter Reference List'!$A:$A,MATCH($A885,'Smelter Reference List'!$E:$E,0)))</f>
        <v/>
      </c>
      <c r="C885" s="298" t="str">
        <f>IF(LEN(A885)=0,"",INDEX('Smelter Reference List'!$C:$C,MATCH($A885,'Smelter Reference List'!$E:$E,0)))</f>
        <v/>
      </c>
      <c r="D885" s="292" t="str">
        <f ca="1">IF(ISERROR($S885),"",OFFSET('Smelter Reference List'!$C$4,$S885-4,0)&amp;"")</f>
        <v/>
      </c>
      <c r="E885" s="292" t="str">
        <f ca="1">IF(ISERROR($S885),"",OFFSET('Smelter Reference List'!$D$4,$S885-4,0)&amp;"")</f>
        <v/>
      </c>
      <c r="F885" s="292" t="str">
        <f ca="1">IF(ISERROR($S885),"",OFFSET('Smelter Reference List'!$E$4,$S885-4,0))</f>
        <v/>
      </c>
      <c r="G885" s="292" t="str">
        <f ca="1">IF(C885=$U$4,"Enter smelter details", IF(ISERROR($S885),"",OFFSET('Smelter Reference List'!$F$4,$S885-4,0)))</f>
        <v/>
      </c>
      <c r="H885" s="293" t="str">
        <f ca="1">IF(ISERROR($S885),"",OFFSET('Smelter Reference List'!$G$4,$S885-4,0))</f>
        <v/>
      </c>
      <c r="I885" s="294" t="str">
        <f ca="1">IF(ISERROR($S885),"",OFFSET('Smelter Reference List'!$H$4,$S885-4,0))</f>
        <v/>
      </c>
      <c r="J885" s="294" t="str">
        <f ca="1">IF(ISERROR($S885),"",OFFSET('Smelter Reference List'!$I$4,$S885-4,0))</f>
        <v/>
      </c>
      <c r="K885" s="295"/>
      <c r="L885" s="295"/>
      <c r="M885" s="295"/>
      <c r="N885" s="295"/>
      <c r="O885" s="295"/>
      <c r="P885" s="295"/>
      <c r="Q885" s="296"/>
      <c r="R885" s="227"/>
      <c r="S885" s="228" t="e">
        <f>IF(C885="",NA(),MATCH($B885&amp;$C885,'Smelter Reference List'!$J:$J,0))</f>
        <v>#N/A</v>
      </c>
      <c r="T885" s="229"/>
      <c r="U885" s="229">
        <f t="shared" ca="1" si="28"/>
        <v>0</v>
      </c>
      <c r="V885" s="229"/>
      <c r="W885" s="229"/>
      <c r="Y885" s="223" t="str">
        <f t="shared" si="29"/>
        <v/>
      </c>
    </row>
    <row r="886" spans="1:25" s="223" customFormat="1" ht="20.25">
      <c r="A886" s="291"/>
      <c r="B886" s="292" t="str">
        <f>IF(LEN(A886)=0,"",INDEX('Smelter Reference List'!$A:$A,MATCH($A886,'Smelter Reference List'!$E:$E,0)))</f>
        <v/>
      </c>
      <c r="C886" s="298" t="str">
        <f>IF(LEN(A886)=0,"",INDEX('Smelter Reference List'!$C:$C,MATCH($A886,'Smelter Reference List'!$E:$E,0)))</f>
        <v/>
      </c>
      <c r="D886" s="292" t="str">
        <f ca="1">IF(ISERROR($S886),"",OFFSET('Smelter Reference List'!$C$4,$S886-4,0)&amp;"")</f>
        <v/>
      </c>
      <c r="E886" s="292" t="str">
        <f ca="1">IF(ISERROR($S886),"",OFFSET('Smelter Reference List'!$D$4,$S886-4,0)&amp;"")</f>
        <v/>
      </c>
      <c r="F886" s="292" t="str">
        <f ca="1">IF(ISERROR($S886),"",OFFSET('Smelter Reference List'!$E$4,$S886-4,0))</f>
        <v/>
      </c>
      <c r="G886" s="292" t="str">
        <f ca="1">IF(C886=$U$4,"Enter smelter details", IF(ISERROR($S886),"",OFFSET('Smelter Reference List'!$F$4,$S886-4,0)))</f>
        <v/>
      </c>
      <c r="H886" s="293" t="str">
        <f ca="1">IF(ISERROR($S886),"",OFFSET('Smelter Reference List'!$G$4,$S886-4,0))</f>
        <v/>
      </c>
      <c r="I886" s="294" t="str">
        <f ca="1">IF(ISERROR($S886),"",OFFSET('Smelter Reference List'!$H$4,$S886-4,0))</f>
        <v/>
      </c>
      <c r="J886" s="294" t="str">
        <f ca="1">IF(ISERROR($S886),"",OFFSET('Smelter Reference List'!$I$4,$S886-4,0))</f>
        <v/>
      </c>
      <c r="K886" s="295"/>
      <c r="L886" s="295"/>
      <c r="M886" s="295"/>
      <c r="N886" s="295"/>
      <c r="O886" s="295"/>
      <c r="P886" s="295"/>
      <c r="Q886" s="296"/>
      <c r="R886" s="227"/>
      <c r="S886" s="228" t="e">
        <f>IF(C886="",NA(),MATCH($B886&amp;$C886,'Smelter Reference List'!$J:$J,0))</f>
        <v>#N/A</v>
      </c>
      <c r="T886" s="229"/>
      <c r="U886" s="229">
        <f t="shared" ca="1" si="28"/>
        <v>0</v>
      </c>
      <c r="V886" s="229"/>
      <c r="W886" s="229"/>
      <c r="Y886" s="223" t="str">
        <f t="shared" si="29"/>
        <v/>
      </c>
    </row>
    <row r="887" spans="1:25" s="223" customFormat="1" ht="20.25">
      <c r="A887" s="291"/>
      <c r="B887" s="292" t="str">
        <f>IF(LEN(A887)=0,"",INDEX('Smelter Reference List'!$A:$A,MATCH($A887,'Smelter Reference List'!$E:$E,0)))</f>
        <v/>
      </c>
      <c r="C887" s="298" t="str">
        <f>IF(LEN(A887)=0,"",INDEX('Smelter Reference List'!$C:$C,MATCH($A887,'Smelter Reference List'!$E:$E,0)))</f>
        <v/>
      </c>
      <c r="D887" s="292" t="str">
        <f ca="1">IF(ISERROR($S887),"",OFFSET('Smelter Reference List'!$C$4,$S887-4,0)&amp;"")</f>
        <v/>
      </c>
      <c r="E887" s="292" t="str">
        <f ca="1">IF(ISERROR($S887),"",OFFSET('Smelter Reference List'!$D$4,$S887-4,0)&amp;"")</f>
        <v/>
      </c>
      <c r="F887" s="292" t="str">
        <f ca="1">IF(ISERROR($S887),"",OFFSET('Smelter Reference List'!$E$4,$S887-4,0))</f>
        <v/>
      </c>
      <c r="G887" s="292" t="str">
        <f ca="1">IF(C887=$U$4,"Enter smelter details", IF(ISERROR($S887),"",OFFSET('Smelter Reference List'!$F$4,$S887-4,0)))</f>
        <v/>
      </c>
      <c r="H887" s="293" t="str">
        <f ca="1">IF(ISERROR($S887),"",OFFSET('Smelter Reference List'!$G$4,$S887-4,0))</f>
        <v/>
      </c>
      <c r="I887" s="294" t="str">
        <f ca="1">IF(ISERROR($S887),"",OFFSET('Smelter Reference List'!$H$4,$S887-4,0))</f>
        <v/>
      </c>
      <c r="J887" s="294" t="str">
        <f ca="1">IF(ISERROR($S887),"",OFFSET('Smelter Reference List'!$I$4,$S887-4,0))</f>
        <v/>
      </c>
      <c r="K887" s="295"/>
      <c r="L887" s="295"/>
      <c r="M887" s="295"/>
      <c r="N887" s="295"/>
      <c r="O887" s="295"/>
      <c r="P887" s="295"/>
      <c r="Q887" s="296"/>
      <c r="R887" s="227"/>
      <c r="S887" s="228" t="e">
        <f>IF(C887="",NA(),MATCH($B887&amp;$C887,'Smelter Reference List'!$J:$J,0))</f>
        <v>#N/A</v>
      </c>
      <c r="T887" s="229"/>
      <c r="U887" s="229">
        <f t="shared" ca="1" si="28"/>
        <v>0</v>
      </c>
      <c r="V887" s="229"/>
      <c r="W887" s="229"/>
      <c r="Y887" s="223" t="str">
        <f t="shared" si="29"/>
        <v/>
      </c>
    </row>
    <row r="888" spans="1:25" s="223" customFormat="1" ht="20.25">
      <c r="A888" s="291"/>
      <c r="B888" s="292" t="str">
        <f>IF(LEN(A888)=0,"",INDEX('Smelter Reference List'!$A:$A,MATCH($A888,'Smelter Reference List'!$E:$E,0)))</f>
        <v/>
      </c>
      <c r="C888" s="298" t="str">
        <f>IF(LEN(A888)=0,"",INDEX('Smelter Reference List'!$C:$C,MATCH($A888,'Smelter Reference List'!$E:$E,0)))</f>
        <v/>
      </c>
      <c r="D888" s="292" t="str">
        <f ca="1">IF(ISERROR($S888),"",OFFSET('Smelter Reference List'!$C$4,$S888-4,0)&amp;"")</f>
        <v/>
      </c>
      <c r="E888" s="292" t="str">
        <f ca="1">IF(ISERROR($S888),"",OFFSET('Smelter Reference List'!$D$4,$S888-4,0)&amp;"")</f>
        <v/>
      </c>
      <c r="F888" s="292" t="str">
        <f ca="1">IF(ISERROR($S888),"",OFFSET('Smelter Reference List'!$E$4,$S888-4,0))</f>
        <v/>
      </c>
      <c r="G888" s="292" t="str">
        <f ca="1">IF(C888=$U$4,"Enter smelter details", IF(ISERROR($S888),"",OFFSET('Smelter Reference List'!$F$4,$S888-4,0)))</f>
        <v/>
      </c>
      <c r="H888" s="293" t="str">
        <f ca="1">IF(ISERROR($S888),"",OFFSET('Smelter Reference List'!$G$4,$S888-4,0))</f>
        <v/>
      </c>
      <c r="I888" s="294" t="str">
        <f ca="1">IF(ISERROR($S888),"",OFFSET('Smelter Reference List'!$H$4,$S888-4,0))</f>
        <v/>
      </c>
      <c r="J888" s="294" t="str">
        <f ca="1">IF(ISERROR($S888),"",OFFSET('Smelter Reference List'!$I$4,$S888-4,0))</f>
        <v/>
      </c>
      <c r="K888" s="295"/>
      <c r="L888" s="295"/>
      <c r="M888" s="295"/>
      <c r="N888" s="295"/>
      <c r="O888" s="295"/>
      <c r="P888" s="295"/>
      <c r="Q888" s="296"/>
      <c r="R888" s="227"/>
      <c r="S888" s="228" t="e">
        <f>IF(C888="",NA(),MATCH($B888&amp;$C888,'Smelter Reference List'!$J:$J,0))</f>
        <v>#N/A</v>
      </c>
      <c r="T888" s="229"/>
      <c r="U888" s="229">
        <f t="shared" ca="1" si="28"/>
        <v>0</v>
      </c>
      <c r="V888" s="229"/>
      <c r="W888" s="229"/>
      <c r="Y888" s="223" t="str">
        <f t="shared" si="29"/>
        <v/>
      </c>
    </row>
    <row r="889" spans="1:25" s="223" customFormat="1" ht="20.25">
      <c r="A889" s="291"/>
      <c r="B889" s="292" t="str">
        <f>IF(LEN(A889)=0,"",INDEX('Smelter Reference List'!$A:$A,MATCH($A889,'Smelter Reference List'!$E:$E,0)))</f>
        <v/>
      </c>
      <c r="C889" s="298" t="str">
        <f>IF(LEN(A889)=0,"",INDEX('Smelter Reference List'!$C:$C,MATCH($A889,'Smelter Reference List'!$E:$E,0)))</f>
        <v/>
      </c>
      <c r="D889" s="292" t="str">
        <f ca="1">IF(ISERROR($S889),"",OFFSET('Smelter Reference List'!$C$4,$S889-4,0)&amp;"")</f>
        <v/>
      </c>
      <c r="E889" s="292" t="str">
        <f ca="1">IF(ISERROR($S889),"",OFFSET('Smelter Reference List'!$D$4,$S889-4,0)&amp;"")</f>
        <v/>
      </c>
      <c r="F889" s="292" t="str">
        <f ca="1">IF(ISERROR($S889),"",OFFSET('Smelter Reference List'!$E$4,$S889-4,0))</f>
        <v/>
      </c>
      <c r="G889" s="292" t="str">
        <f ca="1">IF(C889=$U$4,"Enter smelter details", IF(ISERROR($S889),"",OFFSET('Smelter Reference List'!$F$4,$S889-4,0)))</f>
        <v/>
      </c>
      <c r="H889" s="293" t="str">
        <f ca="1">IF(ISERROR($S889),"",OFFSET('Smelter Reference List'!$G$4,$S889-4,0))</f>
        <v/>
      </c>
      <c r="I889" s="294" t="str">
        <f ca="1">IF(ISERROR($S889),"",OFFSET('Smelter Reference List'!$H$4,$S889-4,0))</f>
        <v/>
      </c>
      <c r="J889" s="294" t="str">
        <f ca="1">IF(ISERROR($S889),"",OFFSET('Smelter Reference List'!$I$4,$S889-4,0))</f>
        <v/>
      </c>
      <c r="K889" s="295"/>
      <c r="L889" s="295"/>
      <c r="M889" s="295"/>
      <c r="N889" s="295"/>
      <c r="O889" s="295"/>
      <c r="P889" s="295"/>
      <c r="Q889" s="296"/>
      <c r="R889" s="227"/>
      <c r="S889" s="228" t="e">
        <f>IF(C889="",NA(),MATCH($B889&amp;$C889,'Smelter Reference List'!$J:$J,0))</f>
        <v>#N/A</v>
      </c>
      <c r="T889" s="229"/>
      <c r="U889" s="229">
        <f t="shared" ca="1" si="28"/>
        <v>0</v>
      </c>
      <c r="V889" s="229"/>
      <c r="W889" s="229"/>
      <c r="Y889" s="223" t="str">
        <f t="shared" si="29"/>
        <v/>
      </c>
    </row>
    <row r="890" spans="1:25" s="223" customFormat="1" ht="20.25">
      <c r="A890" s="291"/>
      <c r="B890" s="292" t="str">
        <f>IF(LEN(A890)=0,"",INDEX('Smelter Reference List'!$A:$A,MATCH($A890,'Smelter Reference List'!$E:$E,0)))</f>
        <v/>
      </c>
      <c r="C890" s="298" t="str">
        <f>IF(LEN(A890)=0,"",INDEX('Smelter Reference List'!$C:$C,MATCH($A890,'Smelter Reference List'!$E:$E,0)))</f>
        <v/>
      </c>
      <c r="D890" s="292" t="str">
        <f ca="1">IF(ISERROR($S890),"",OFFSET('Smelter Reference List'!$C$4,$S890-4,0)&amp;"")</f>
        <v/>
      </c>
      <c r="E890" s="292" t="str">
        <f ca="1">IF(ISERROR($S890),"",OFFSET('Smelter Reference List'!$D$4,$S890-4,0)&amp;"")</f>
        <v/>
      </c>
      <c r="F890" s="292" t="str">
        <f ca="1">IF(ISERROR($S890),"",OFFSET('Smelter Reference List'!$E$4,$S890-4,0))</f>
        <v/>
      </c>
      <c r="G890" s="292" t="str">
        <f ca="1">IF(C890=$U$4,"Enter smelter details", IF(ISERROR($S890),"",OFFSET('Smelter Reference List'!$F$4,$S890-4,0)))</f>
        <v/>
      </c>
      <c r="H890" s="293" t="str">
        <f ca="1">IF(ISERROR($S890),"",OFFSET('Smelter Reference List'!$G$4,$S890-4,0))</f>
        <v/>
      </c>
      <c r="I890" s="294" t="str">
        <f ca="1">IF(ISERROR($S890),"",OFFSET('Smelter Reference List'!$H$4,$S890-4,0))</f>
        <v/>
      </c>
      <c r="J890" s="294" t="str">
        <f ca="1">IF(ISERROR($S890),"",OFFSET('Smelter Reference List'!$I$4,$S890-4,0))</f>
        <v/>
      </c>
      <c r="K890" s="295"/>
      <c r="L890" s="295"/>
      <c r="M890" s="295"/>
      <c r="N890" s="295"/>
      <c r="O890" s="295"/>
      <c r="P890" s="295"/>
      <c r="Q890" s="296"/>
      <c r="R890" s="227"/>
      <c r="S890" s="228" t="e">
        <f>IF(C890="",NA(),MATCH($B890&amp;$C890,'Smelter Reference List'!$J:$J,0))</f>
        <v>#N/A</v>
      </c>
      <c r="T890" s="229"/>
      <c r="U890" s="229">
        <f t="shared" ca="1" si="28"/>
        <v>0</v>
      </c>
      <c r="V890" s="229"/>
      <c r="W890" s="229"/>
      <c r="Y890" s="223" t="str">
        <f t="shared" si="29"/>
        <v/>
      </c>
    </row>
    <row r="891" spans="1:25" s="223" customFormat="1" ht="20.25">
      <c r="A891" s="291"/>
      <c r="B891" s="292" t="str">
        <f>IF(LEN(A891)=0,"",INDEX('Smelter Reference List'!$A:$A,MATCH($A891,'Smelter Reference List'!$E:$E,0)))</f>
        <v/>
      </c>
      <c r="C891" s="298" t="str">
        <f>IF(LEN(A891)=0,"",INDEX('Smelter Reference List'!$C:$C,MATCH($A891,'Smelter Reference List'!$E:$E,0)))</f>
        <v/>
      </c>
      <c r="D891" s="292" t="str">
        <f ca="1">IF(ISERROR($S891),"",OFFSET('Smelter Reference List'!$C$4,$S891-4,0)&amp;"")</f>
        <v/>
      </c>
      <c r="E891" s="292" t="str">
        <f ca="1">IF(ISERROR($S891),"",OFFSET('Smelter Reference List'!$D$4,$S891-4,0)&amp;"")</f>
        <v/>
      </c>
      <c r="F891" s="292" t="str">
        <f ca="1">IF(ISERROR($S891),"",OFFSET('Smelter Reference List'!$E$4,$S891-4,0))</f>
        <v/>
      </c>
      <c r="G891" s="292" t="str">
        <f ca="1">IF(C891=$U$4,"Enter smelter details", IF(ISERROR($S891),"",OFFSET('Smelter Reference List'!$F$4,$S891-4,0)))</f>
        <v/>
      </c>
      <c r="H891" s="293" t="str">
        <f ca="1">IF(ISERROR($S891),"",OFFSET('Smelter Reference List'!$G$4,$S891-4,0))</f>
        <v/>
      </c>
      <c r="I891" s="294" t="str">
        <f ca="1">IF(ISERROR($S891),"",OFFSET('Smelter Reference List'!$H$4,$S891-4,0))</f>
        <v/>
      </c>
      <c r="J891" s="294" t="str">
        <f ca="1">IF(ISERROR($S891),"",OFFSET('Smelter Reference List'!$I$4,$S891-4,0))</f>
        <v/>
      </c>
      <c r="K891" s="295"/>
      <c r="L891" s="295"/>
      <c r="M891" s="295"/>
      <c r="N891" s="295"/>
      <c r="O891" s="295"/>
      <c r="P891" s="295"/>
      <c r="Q891" s="296"/>
      <c r="R891" s="227"/>
      <c r="S891" s="228" t="e">
        <f>IF(C891="",NA(),MATCH($B891&amp;$C891,'Smelter Reference List'!$J:$J,0))</f>
        <v>#N/A</v>
      </c>
      <c r="T891" s="229"/>
      <c r="U891" s="229">
        <f t="shared" ca="1" si="28"/>
        <v>0</v>
      </c>
      <c r="V891" s="229"/>
      <c r="W891" s="229"/>
      <c r="Y891" s="223" t="str">
        <f t="shared" si="29"/>
        <v/>
      </c>
    </row>
    <row r="892" spans="1:25" s="223" customFormat="1" ht="20.25">
      <c r="A892" s="291"/>
      <c r="B892" s="292" t="str">
        <f>IF(LEN(A892)=0,"",INDEX('Smelter Reference List'!$A:$A,MATCH($A892,'Smelter Reference List'!$E:$E,0)))</f>
        <v/>
      </c>
      <c r="C892" s="298" t="str">
        <f>IF(LEN(A892)=0,"",INDEX('Smelter Reference List'!$C:$C,MATCH($A892,'Smelter Reference List'!$E:$E,0)))</f>
        <v/>
      </c>
      <c r="D892" s="292" t="str">
        <f ca="1">IF(ISERROR($S892),"",OFFSET('Smelter Reference List'!$C$4,$S892-4,0)&amp;"")</f>
        <v/>
      </c>
      <c r="E892" s="292" t="str">
        <f ca="1">IF(ISERROR($S892),"",OFFSET('Smelter Reference List'!$D$4,$S892-4,0)&amp;"")</f>
        <v/>
      </c>
      <c r="F892" s="292" t="str">
        <f ca="1">IF(ISERROR($S892),"",OFFSET('Smelter Reference List'!$E$4,$S892-4,0))</f>
        <v/>
      </c>
      <c r="G892" s="292" t="str">
        <f ca="1">IF(C892=$U$4,"Enter smelter details", IF(ISERROR($S892),"",OFFSET('Smelter Reference List'!$F$4,$S892-4,0)))</f>
        <v/>
      </c>
      <c r="H892" s="293" t="str">
        <f ca="1">IF(ISERROR($S892),"",OFFSET('Smelter Reference List'!$G$4,$S892-4,0))</f>
        <v/>
      </c>
      <c r="I892" s="294" t="str">
        <f ca="1">IF(ISERROR($S892),"",OFFSET('Smelter Reference List'!$H$4,$S892-4,0))</f>
        <v/>
      </c>
      <c r="J892" s="294" t="str">
        <f ca="1">IF(ISERROR($S892),"",OFFSET('Smelter Reference List'!$I$4,$S892-4,0))</f>
        <v/>
      </c>
      <c r="K892" s="295"/>
      <c r="L892" s="295"/>
      <c r="M892" s="295"/>
      <c r="N892" s="295"/>
      <c r="O892" s="295"/>
      <c r="P892" s="295"/>
      <c r="Q892" s="296"/>
      <c r="R892" s="227"/>
      <c r="S892" s="228" t="e">
        <f>IF(C892="",NA(),MATCH($B892&amp;$C892,'Smelter Reference List'!$J:$J,0))</f>
        <v>#N/A</v>
      </c>
      <c r="T892" s="229"/>
      <c r="U892" s="229">
        <f t="shared" ca="1" si="28"/>
        <v>0</v>
      </c>
      <c r="V892" s="229"/>
      <c r="W892" s="229"/>
      <c r="Y892" s="223" t="str">
        <f t="shared" si="29"/>
        <v/>
      </c>
    </row>
    <row r="893" spans="1:25" s="223" customFormat="1" ht="20.25">
      <c r="A893" s="291"/>
      <c r="B893" s="292" t="str">
        <f>IF(LEN(A893)=0,"",INDEX('Smelter Reference List'!$A:$A,MATCH($A893,'Smelter Reference List'!$E:$E,0)))</f>
        <v/>
      </c>
      <c r="C893" s="298" t="str">
        <f>IF(LEN(A893)=0,"",INDEX('Smelter Reference List'!$C:$C,MATCH($A893,'Smelter Reference List'!$E:$E,0)))</f>
        <v/>
      </c>
      <c r="D893" s="292" t="str">
        <f ca="1">IF(ISERROR($S893),"",OFFSET('Smelter Reference List'!$C$4,$S893-4,0)&amp;"")</f>
        <v/>
      </c>
      <c r="E893" s="292" t="str">
        <f ca="1">IF(ISERROR($S893),"",OFFSET('Smelter Reference List'!$D$4,$S893-4,0)&amp;"")</f>
        <v/>
      </c>
      <c r="F893" s="292" t="str">
        <f ca="1">IF(ISERROR($S893),"",OFFSET('Smelter Reference List'!$E$4,$S893-4,0))</f>
        <v/>
      </c>
      <c r="G893" s="292" t="str">
        <f ca="1">IF(C893=$U$4,"Enter smelter details", IF(ISERROR($S893),"",OFFSET('Smelter Reference List'!$F$4,$S893-4,0)))</f>
        <v/>
      </c>
      <c r="H893" s="293" t="str">
        <f ca="1">IF(ISERROR($S893),"",OFFSET('Smelter Reference List'!$G$4,$S893-4,0))</f>
        <v/>
      </c>
      <c r="I893" s="294" t="str">
        <f ca="1">IF(ISERROR($S893),"",OFFSET('Smelter Reference List'!$H$4,$S893-4,0))</f>
        <v/>
      </c>
      <c r="J893" s="294" t="str">
        <f ca="1">IF(ISERROR($S893),"",OFFSET('Smelter Reference List'!$I$4,$S893-4,0))</f>
        <v/>
      </c>
      <c r="K893" s="295"/>
      <c r="L893" s="295"/>
      <c r="M893" s="295"/>
      <c r="N893" s="295"/>
      <c r="O893" s="295"/>
      <c r="P893" s="295"/>
      <c r="Q893" s="296"/>
      <c r="R893" s="227"/>
      <c r="S893" s="228" t="e">
        <f>IF(C893="",NA(),MATCH($B893&amp;$C893,'Smelter Reference List'!$J:$J,0))</f>
        <v>#N/A</v>
      </c>
      <c r="T893" s="229"/>
      <c r="U893" s="229">
        <f t="shared" ca="1" si="28"/>
        <v>0</v>
      </c>
      <c r="V893" s="229"/>
      <c r="W893" s="229"/>
      <c r="Y893" s="223" t="str">
        <f t="shared" si="29"/>
        <v/>
      </c>
    </row>
    <row r="894" spans="1:25" s="223" customFormat="1" ht="20.25">
      <c r="A894" s="291"/>
      <c r="B894" s="292" t="str">
        <f>IF(LEN(A894)=0,"",INDEX('Smelter Reference List'!$A:$A,MATCH($A894,'Smelter Reference List'!$E:$E,0)))</f>
        <v/>
      </c>
      <c r="C894" s="298" t="str">
        <f>IF(LEN(A894)=0,"",INDEX('Smelter Reference List'!$C:$C,MATCH($A894,'Smelter Reference List'!$E:$E,0)))</f>
        <v/>
      </c>
      <c r="D894" s="292" t="str">
        <f ca="1">IF(ISERROR($S894),"",OFFSET('Smelter Reference List'!$C$4,$S894-4,0)&amp;"")</f>
        <v/>
      </c>
      <c r="E894" s="292" t="str">
        <f ca="1">IF(ISERROR($S894),"",OFFSET('Smelter Reference List'!$D$4,$S894-4,0)&amp;"")</f>
        <v/>
      </c>
      <c r="F894" s="292" t="str">
        <f ca="1">IF(ISERROR($S894),"",OFFSET('Smelter Reference List'!$E$4,$S894-4,0))</f>
        <v/>
      </c>
      <c r="G894" s="292" t="str">
        <f ca="1">IF(C894=$U$4,"Enter smelter details", IF(ISERROR($S894),"",OFFSET('Smelter Reference List'!$F$4,$S894-4,0)))</f>
        <v/>
      </c>
      <c r="H894" s="293" t="str">
        <f ca="1">IF(ISERROR($S894),"",OFFSET('Smelter Reference List'!$G$4,$S894-4,0))</f>
        <v/>
      </c>
      <c r="I894" s="294" t="str">
        <f ca="1">IF(ISERROR($S894),"",OFFSET('Smelter Reference List'!$H$4,$S894-4,0))</f>
        <v/>
      </c>
      <c r="J894" s="294" t="str">
        <f ca="1">IF(ISERROR($S894),"",OFFSET('Smelter Reference List'!$I$4,$S894-4,0))</f>
        <v/>
      </c>
      <c r="K894" s="295"/>
      <c r="L894" s="295"/>
      <c r="M894" s="295"/>
      <c r="N894" s="295"/>
      <c r="O894" s="295"/>
      <c r="P894" s="295"/>
      <c r="Q894" s="296"/>
      <c r="R894" s="227"/>
      <c r="S894" s="228" t="e">
        <f>IF(C894="",NA(),MATCH($B894&amp;$C894,'Smelter Reference List'!$J:$J,0))</f>
        <v>#N/A</v>
      </c>
      <c r="T894" s="229"/>
      <c r="U894" s="229">
        <f t="shared" ca="1" si="28"/>
        <v>0</v>
      </c>
      <c r="V894" s="229"/>
      <c r="W894" s="229"/>
      <c r="Y894" s="223" t="str">
        <f t="shared" si="29"/>
        <v/>
      </c>
    </row>
    <row r="895" spans="1:25" s="223" customFormat="1" ht="20.25">
      <c r="A895" s="291"/>
      <c r="B895" s="292" t="str">
        <f>IF(LEN(A895)=0,"",INDEX('Smelter Reference List'!$A:$A,MATCH($A895,'Smelter Reference List'!$E:$E,0)))</f>
        <v/>
      </c>
      <c r="C895" s="298" t="str">
        <f>IF(LEN(A895)=0,"",INDEX('Smelter Reference List'!$C:$C,MATCH($A895,'Smelter Reference List'!$E:$E,0)))</f>
        <v/>
      </c>
      <c r="D895" s="292" t="str">
        <f ca="1">IF(ISERROR($S895),"",OFFSET('Smelter Reference List'!$C$4,$S895-4,0)&amp;"")</f>
        <v/>
      </c>
      <c r="E895" s="292" t="str">
        <f ca="1">IF(ISERROR($S895),"",OFFSET('Smelter Reference List'!$D$4,$S895-4,0)&amp;"")</f>
        <v/>
      </c>
      <c r="F895" s="292" t="str">
        <f ca="1">IF(ISERROR($S895),"",OFFSET('Smelter Reference List'!$E$4,$S895-4,0))</f>
        <v/>
      </c>
      <c r="G895" s="292" t="str">
        <f ca="1">IF(C895=$U$4,"Enter smelter details", IF(ISERROR($S895),"",OFFSET('Smelter Reference List'!$F$4,$S895-4,0)))</f>
        <v/>
      </c>
      <c r="H895" s="293" t="str">
        <f ca="1">IF(ISERROR($S895),"",OFFSET('Smelter Reference List'!$G$4,$S895-4,0))</f>
        <v/>
      </c>
      <c r="I895" s="294" t="str">
        <f ca="1">IF(ISERROR($S895),"",OFFSET('Smelter Reference List'!$H$4,$S895-4,0))</f>
        <v/>
      </c>
      <c r="J895" s="294" t="str">
        <f ca="1">IF(ISERROR($S895),"",OFFSET('Smelter Reference List'!$I$4,$S895-4,0))</f>
        <v/>
      </c>
      <c r="K895" s="295"/>
      <c r="L895" s="295"/>
      <c r="M895" s="295"/>
      <c r="N895" s="295"/>
      <c r="O895" s="295"/>
      <c r="P895" s="295"/>
      <c r="Q895" s="296"/>
      <c r="R895" s="227"/>
      <c r="S895" s="228" t="e">
        <f>IF(C895="",NA(),MATCH($B895&amp;$C895,'Smelter Reference List'!$J:$J,0))</f>
        <v>#N/A</v>
      </c>
      <c r="T895" s="229"/>
      <c r="U895" s="229">
        <f t="shared" ca="1" si="28"/>
        <v>0</v>
      </c>
      <c r="V895" s="229"/>
      <c r="W895" s="229"/>
      <c r="Y895" s="223" t="str">
        <f t="shared" si="29"/>
        <v/>
      </c>
    </row>
    <row r="896" spans="1:25" s="223" customFormat="1" ht="20.25">
      <c r="A896" s="291"/>
      <c r="B896" s="292" t="str">
        <f>IF(LEN(A896)=0,"",INDEX('Smelter Reference List'!$A:$A,MATCH($A896,'Smelter Reference List'!$E:$E,0)))</f>
        <v/>
      </c>
      <c r="C896" s="298" t="str">
        <f>IF(LEN(A896)=0,"",INDEX('Smelter Reference List'!$C:$C,MATCH($A896,'Smelter Reference List'!$E:$E,0)))</f>
        <v/>
      </c>
      <c r="D896" s="292" t="str">
        <f ca="1">IF(ISERROR($S896),"",OFFSET('Smelter Reference List'!$C$4,$S896-4,0)&amp;"")</f>
        <v/>
      </c>
      <c r="E896" s="292" t="str">
        <f ca="1">IF(ISERROR($S896),"",OFFSET('Smelter Reference List'!$D$4,$S896-4,0)&amp;"")</f>
        <v/>
      </c>
      <c r="F896" s="292" t="str">
        <f ca="1">IF(ISERROR($S896),"",OFFSET('Smelter Reference List'!$E$4,$S896-4,0))</f>
        <v/>
      </c>
      <c r="G896" s="292" t="str">
        <f ca="1">IF(C896=$U$4,"Enter smelter details", IF(ISERROR($S896),"",OFFSET('Smelter Reference List'!$F$4,$S896-4,0)))</f>
        <v/>
      </c>
      <c r="H896" s="293" t="str">
        <f ca="1">IF(ISERROR($S896),"",OFFSET('Smelter Reference List'!$G$4,$S896-4,0))</f>
        <v/>
      </c>
      <c r="I896" s="294" t="str">
        <f ca="1">IF(ISERROR($S896),"",OFFSET('Smelter Reference List'!$H$4,$S896-4,0))</f>
        <v/>
      </c>
      <c r="J896" s="294" t="str">
        <f ca="1">IF(ISERROR($S896),"",OFFSET('Smelter Reference List'!$I$4,$S896-4,0))</f>
        <v/>
      </c>
      <c r="K896" s="295"/>
      <c r="L896" s="295"/>
      <c r="M896" s="295"/>
      <c r="N896" s="295"/>
      <c r="O896" s="295"/>
      <c r="P896" s="295"/>
      <c r="Q896" s="296"/>
      <c r="R896" s="227"/>
      <c r="S896" s="228" t="e">
        <f>IF(C896="",NA(),MATCH($B896&amp;$C896,'Smelter Reference List'!$J:$J,0))</f>
        <v>#N/A</v>
      </c>
      <c r="T896" s="229"/>
      <c r="U896" s="229">
        <f t="shared" ca="1" si="28"/>
        <v>0</v>
      </c>
      <c r="V896" s="229"/>
      <c r="W896" s="229"/>
      <c r="Y896" s="223" t="str">
        <f t="shared" si="29"/>
        <v/>
      </c>
    </row>
    <row r="897" spans="1:25" s="223" customFormat="1" ht="20.25">
      <c r="A897" s="291"/>
      <c r="B897" s="292" t="str">
        <f>IF(LEN(A897)=0,"",INDEX('Smelter Reference List'!$A:$A,MATCH($A897,'Smelter Reference List'!$E:$E,0)))</f>
        <v/>
      </c>
      <c r="C897" s="298" t="str">
        <f>IF(LEN(A897)=0,"",INDEX('Smelter Reference List'!$C:$C,MATCH($A897,'Smelter Reference List'!$E:$E,0)))</f>
        <v/>
      </c>
      <c r="D897" s="292" t="str">
        <f ca="1">IF(ISERROR($S897),"",OFFSET('Smelter Reference List'!$C$4,$S897-4,0)&amp;"")</f>
        <v/>
      </c>
      <c r="E897" s="292" t="str">
        <f ca="1">IF(ISERROR($S897),"",OFFSET('Smelter Reference List'!$D$4,$S897-4,0)&amp;"")</f>
        <v/>
      </c>
      <c r="F897" s="292" t="str">
        <f ca="1">IF(ISERROR($S897),"",OFFSET('Smelter Reference List'!$E$4,$S897-4,0))</f>
        <v/>
      </c>
      <c r="G897" s="292" t="str">
        <f ca="1">IF(C897=$U$4,"Enter smelter details", IF(ISERROR($S897),"",OFFSET('Smelter Reference List'!$F$4,$S897-4,0)))</f>
        <v/>
      </c>
      <c r="H897" s="293" t="str">
        <f ca="1">IF(ISERROR($S897),"",OFFSET('Smelter Reference List'!$G$4,$S897-4,0))</f>
        <v/>
      </c>
      <c r="I897" s="294" t="str">
        <f ca="1">IF(ISERROR($S897),"",OFFSET('Smelter Reference List'!$H$4,$S897-4,0))</f>
        <v/>
      </c>
      <c r="J897" s="294" t="str">
        <f ca="1">IF(ISERROR($S897),"",OFFSET('Smelter Reference List'!$I$4,$S897-4,0))</f>
        <v/>
      </c>
      <c r="K897" s="295"/>
      <c r="L897" s="295"/>
      <c r="M897" s="295"/>
      <c r="N897" s="295"/>
      <c r="O897" s="295"/>
      <c r="P897" s="295"/>
      <c r="Q897" s="296"/>
      <c r="R897" s="227"/>
      <c r="S897" s="228" t="e">
        <f>IF(C897="",NA(),MATCH($B897&amp;$C897,'Smelter Reference List'!$J:$J,0))</f>
        <v>#N/A</v>
      </c>
      <c r="T897" s="229"/>
      <c r="U897" s="229">
        <f t="shared" ca="1" si="28"/>
        <v>0</v>
      </c>
      <c r="V897" s="229"/>
      <c r="W897" s="229"/>
      <c r="Y897" s="223" t="str">
        <f t="shared" si="29"/>
        <v/>
      </c>
    </row>
    <row r="898" spans="1:25" s="223" customFormat="1" ht="20.25">
      <c r="A898" s="291"/>
      <c r="B898" s="292" t="str">
        <f>IF(LEN(A898)=0,"",INDEX('Smelter Reference List'!$A:$A,MATCH($A898,'Smelter Reference List'!$E:$E,0)))</f>
        <v/>
      </c>
      <c r="C898" s="298" t="str">
        <f>IF(LEN(A898)=0,"",INDEX('Smelter Reference List'!$C:$C,MATCH($A898,'Smelter Reference List'!$E:$E,0)))</f>
        <v/>
      </c>
      <c r="D898" s="292" t="str">
        <f ca="1">IF(ISERROR($S898),"",OFFSET('Smelter Reference List'!$C$4,$S898-4,0)&amp;"")</f>
        <v/>
      </c>
      <c r="E898" s="292" t="str">
        <f ca="1">IF(ISERROR($S898),"",OFFSET('Smelter Reference List'!$D$4,$S898-4,0)&amp;"")</f>
        <v/>
      </c>
      <c r="F898" s="292" t="str">
        <f ca="1">IF(ISERROR($S898),"",OFFSET('Smelter Reference List'!$E$4,$S898-4,0))</f>
        <v/>
      </c>
      <c r="G898" s="292" t="str">
        <f ca="1">IF(C898=$U$4,"Enter smelter details", IF(ISERROR($S898),"",OFFSET('Smelter Reference List'!$F$4,$S898-4,0)))</f>
        <v/>
      </c>
      <c r="H898" s="293" t="str">
        <f ca="1">IF(ISERROR($S898),"",OFFSET('Smelter Reference List'!$G$4,$S898-4,0))</f>
        <v/>
      </c>
      <c r="I898" s="294" t="str">
        <f ca="1">IF(ISERROR($S898),"",OFFSET('Smelter Reference List'!$H$4,$S898-4,0))</f>
        <v/>
      </c>
      <c r="J898" s="294" t="str">
        <f ca="1">IF(ISERROR($S898),"",OFFSET('Smelter Reference List'!$I$4,$S898-4,0))</f>
        <v/>
      </c>
      <c r="K898" s="295"/>
      <c r="L898" s="295"/>
      <c r="M898" s="295"/>
      <c r="N898" s="295"/>
      <c r="O898" s="295"/>
      <c r="P898" s="295"/>
      <c r="Q898" s="296"/>
      <c r="R898" s="227"/>
      <c r="S898" s="228" t="e">
        <f>IF(C898="",NA(),MATCH($B898&amp;$C898,'Smelter Reference List'!$J:$J,0))</f>
        <v>#N/A</v>
      </c>
      <c r="T898" s="229"/>
      <c r="U898" s="229">
        <f t="shared" ca="1" si="28"/>
        <v>0</v>
      </c>
      <c r="V898" s="229"/>
      <c r="W898" s="229"/>
      <c r="Y898" s="223" t="str">
        <f t="shared" si="29"/>
        <v/>
      </c>
    </row>
    <row r="899" spans="1:25" s="223" customFormat="1" ht="20.25">
      <c r="A899" s="291"/>
      <c r="B899" s="292" t="str">
        <f>IF(LEN(A899)=0,"",INDEX('Smelter Reference List'!$A:$A,MATCH($A899,'Smelter Reference List'!$E:$E,0)))</f>
        <v/>
      </c>
      <c r="C899" s="298" t="str">
        <f>IF(LEN(A899)=0,"",INDEX('Smelter Reference List'!$C:$C,MATCH($A899,'Smelter Reference List'!$E:$E,0)))</f>
        <v/>
      </c>
      <c r="D899" s="292" t="str">
        <f ca="1">IF(ISERROR($S899),"",OFFSET('Smelter Reference List'!$C$4,$S899-4,0)&amp;"")</f>
        <v/>
      </c>
      <c r="E899" s="292" t="str">
        <f ca="1">IF(ISERROR($S899),"",OFFSET('Smelter Reference List'!$D$4,$S899-4,0)&amp;"")</f>
        <v/>
      </c>
      <c r="F899" s="292" t="str">
        <f ca="1">IF(ISERROR($S899),"",OFFSET('Smelter Reference List'!$E$4,$S899-4,0))</f>
        <v/>
      </c>
      <c r="G899" s="292" t="str">
        <f ca="1">IF(C899=$U$4,"Enter smelter details", IF(ISERROR($S899),"",OFFSET('Smelter Reference List'!$F$4,$S899-4,0)))</f>
        <v/>
      </c>
      <c r="H899" s="293" t="str">
        <f ca="1">IF(ISERROR($S899),"",OFFSET('Smelter Reference List'!$G$4,$S899-4,0))</f>
        <v/>
      </c>
      <c r="I899" s="294" t="str">
        <f ca="1">IF(ISERROR($S899),"",OFFSET('Smelter Reference List'!$H$4,$S899-4,0))</f>
        <v/>
      </c>
      <c r="J899" s="294" t="str">
        <f ca="1">IF(ISERROR($S899),"",OFFSET('Smelter Reference List'!$I$4,$S899-4,0))</f>
        <v/>
      </c>
      <c r="K899" s="295"/>
      <c r="L899" s="295"/>
      <c r="M899" s="295"/>
      <c r="N899" s="295"/>
      <c r="O899" s="295"/>
      <c r="P899" s="295"/>
      <c r="Q899" s="296"/>
      <c r="R899" s="227"/>
      <c r="S899" s="228" t="e">
        <f>IF(C899="",NA(),MATCH($B899&amp;$C899,'Smelter Reference List'!$J:$J,0))</f>
        <v>#N/A</v>
      </c>
      <c r="T899" s="229"/>
      <c r="U899" s="229">
        <f t="shared" ca="1" si="28"/>
        <v>0</v>
      </c>
      <c r="V899" s="229"/>
      <c r="W899" s="229"/>
      <c r="Y899" s="223" t="str">
        <f t="shared" si="29"/>
        <v/>
      </c>
    </row>
    <row r="900" spans="1:25" s="223" customFormat="1" ht="20.25">
      <c r="A900" s="291"/>
      <c r="B900" s="292" t="str">
        <f>IF(LEN(A900)=0,"",INDEX('Smelter Reference List'!$A:$A,MATCH($A900,'Smelter Reference List'!$E:$E,0)))</f>
        <v/>
      </c>
      <c r="C900" s="298" t="str">
        <f>IF(LEN(A900)=0,"",INDEX('Smelter Reference List'!$C:$C,MATCH($A900,'Smelter Reference List'!$E:$E,0)))</f>
        <v/>
      </c>
      <c r="D900" s="292" t="str">
        <f ca="1">IF(ISERROR($S900),"",OFFSET('Smelter Reference List'!$C$4,$S900-4,0)&amp;"")</f>
        <v/>
      </c>
      <c r="E900" s="292" t="str">
        <f ca="1">IF(ISERROR($S900),"",OFFSET('Smelter Reference List'!$D$4,$S900-4,0)&amp;"")</f>
        <v/>
      </c>
      <c r="F900" s="292" t="str">
        <f ca="1">IF(ISERROR($S900),"",OFFSET('Smelter Reference List'!$E$4,$S900-4,0))</f>
        <v/>
      </c>
      <c r="G900" s="292" t="str">
        <f ca="1">IF(C900=$U$4,"Enter smelter details", IF(ISERROR($S900),"",OFFSET('Smelter Reference List'!$F$4,$S900-4,0)))</f>
        <v/>
      </c>
      <c r="H900" s="293" t="str">
        <f ca="1">IF(ISERROR($S900),"",OFFSET('Smelter Reference List'!$G$4,$S900-4,0))</f>
        <v/>
      </c>
      <c r="I900" s="294" t="str">
        <f ca="1">IF(ISERROR($S900),"",OFFSET('Smelter Reference List'!$H$4,$S900-4,0))</f>
        <v/>
      </c>
      <c r="J900" s="294" t="str">
        <f ca="1">IF(ISERROR($S900),"",OFFSET('Smelter Reference List'!$I$4,$S900-4,0))</f>
        <v/>
      </c>
      <c r="K900" s="295"/>
      <c r="L900" s="295"/>
      <c r="M900" s="295"/>
      <c r="N900" s="295"/>
      <c r="O900" s="295"/>
      <c r="P900" s="295"/>
      <c r="Q900" s="296"/>
      <c r="R900" s="227"/>
      <c r="S900" s="228" t="e">
        <f>IF(C900="",NA(),MATCH($B900&amp;$C900,'Smelter Reference List'!$J:$J,0))</f>
        <v>#N/A</v>
      </c>
      <c r="T900" s="229"/>
      <c r="U900" s="229">
        <f t="shared" ca="1" si="28"/>
        <v>0</v>
      </c>
      <c r="V900" s="229"/>
      <c r="W900" s="229"/>
      <c r="Y900" s="223" t="str">
        <f t="shared" si="29"/>
        <v/>
      </c>
    </row>
    <row r="901" spans="1:25" s="223" customFormat="1" ht="20.25">
      <c r="A901" s="291"/>
      <c r="B901" s="292" t="str">
        <f>IF(LEN(A901)=0,"",INDEX('Smelter Reference List'!$A:$A,MATCH($A901,'Smelter Reference List'!$E:$E,0)))</f>
        <v/>
      </c>
      <c r="C901" s="298" t="str">
        <f>IF(LEN(A901)=0,"",INDEX('Smelter Reference List'!$C:$C,MATCH($A901,'Smelter Reference List'!$E:$E,0)))</f>
        <v/>
      </c>
      <c r="D901" s="292" t="str">
        <f ca="1">IF(ISERROR($S901),"",OFFSET('Smelter Reference List'!$C$4,$S901-4,0)&amp;"")</f>
        <v/>
      </c>
      <c r="E901" s="292" t="str">
        <f ca="1">IF(ISERROR($S901),"",OFFSET('Smelter Reference List'!$D$4,$S901-4,0)&amp;"")</f>
        <v/>
      </c>
      <c r="F901" s="292" t="str">
        <f ca="1">IF(ISERROR($S901),"",OFFSET('Smelter Reference List'!$E$4,$S901-4,0))</f>
        <v/>
      </c>
      <c r="G901" s="292" t="str">
        <f ca="1">IF(C901=$U$4,"Enter smelter details", IF(ISERROR($S901),"",OFFSET('Smelter Reference List'!$F$4,$S901-4,0)))</f>
        <v/>
      </c>
      <c r="H901" s="293" t="str">
        <f ca="1">IF(ISERROR($S901),"",OFFSET('Smelter Reference List'!$G$4,$S901-4,0))</f>
        <v/>
      </c>
      <c r="I901" s="294" t="str">
        <f ca="1">IF(ISERROR($S901),"",OFFSET('Smelter Reference List'!$H$4,$S901-4,0))</f>
        <v/>
      </c>
      <c r="J901" s="294" t="str">
        <f ca="1">IF(ISERROR($S901),"",OFFSET('Smelter Reference List'!$I$4,$S901-4,0))</f>
        <v/>
      </c>
      <c r="K901" s="295"/>
      <c r="L901" s="295"/>
      <c r="M901" s="295"/>
      <c r="N901" s="295"/>
      <c r="O901" s="295"/>
      <c r="P901" s="295"/>
      <c r="Q901" s="296"/>
      <c r="R901" s="227"/>
      <c r="S901" s="228" t="e">
        <f>IF(C901="",NA(),MATCH($B901&amp;$C901,'Smelter Reference List'!$J:$J,0))</f>
        <v>#N/A</v>
      </c>
      <c r="T901" s="229"/>
      <c r="U901" s="229">
        <f t="shared" ref="U901:U964" ca="1" si="30">IF(AND(C901="Smelter not listed",OR(LEN(D901)=0,LEN(E901)=0)),1,0)</f>
        <v>0</v>
      </c>
      <c r="V901" s="229"/>
      <c r="W901" s="229"/>
      <c r="Y901" s="223" t="str">
        <f t="shared" ref="Y901:Y964" si="31">B901&amp;C901</f>
        <v/>
      </c>
    </row>
    <row r="902" spans="1:25" s="223" customFormat="1" ht="20.25">
      <c r="A902" s="291"/>
      <c r="B902" s="292" t="str">
        <f>IF(LEN(A902)=0,"",INDEX('Smelter Reference List'!$A:$A,MATCH($A902,'Smelter Reference List'!$E:$E,0)))</f>
        <v/>
      </c>
      <c r="C902" s="298" t="str">
        <f>IF(LEN(A902)=0,"",INDEX('Smelter Reference List'!$C:$C,MATCH($A902,'Smelter Reference List'!$E:$E,0)))</f>
        <v/>
      </c>
      <c r="D902" s="292" t="str">
        <f ca="1">IF(ISERROR($S902),"",OFFSET('Smelter Reference List'!$C$4,$S902-4,0)&amp;"")</f>
        <v/>
      </c>
      <c r="E902" s="292" t="str">
        <f ca="1">IF(ISERROR($S902),"",OFFSET('Smelter Reference List'!$D$4,$S902-4,0)&amp;"")</f>
        <v/>
      </c>
      <c r="F902" s="292" t="str">
        <f ca="1">IF(ISERROR($S902),"",OFFSET('Smelter Reference List'!$E$4,$S902-4,0))</f>
        <v/>
      </c>
      <c r="G902" s="292" t="str">
        <f ca="1">IF(C902=$U$4,"Enter smelter details", IF(ISERROR($S902),"",OFFSET('Smelter Reference List'!$F$4,$S902-4,0)))</f>
        <v/>
      </c>
      <c r="H902" s="293" t="str">
        <f ca="1">IF(ISERROR($S902),"",OFFSET('Smelter Reference List'!$G$4,$S902-4,0))</f>
        <v/>
      </c>
      <c r="I902" s="294" t="str">
        <f ca="1">IF(ISERROR($S902),"",OFFSET('Smelter Reference List'!$H$4,$S902-4,0))</f>
        <v/>
      </c>
      <c r="J902" s="294" t="str">
        <f ca="1">IF(ISERROR($S902),"",OFFSET('Smelter Reference List'!$I$4,$S902-4,0))</f>
        <v/>
      </c>
      <c r="K902" s="295"/>
      <c r="L902" s="295"/>
      <c r="M902" s="295"/>
      <c r="N902" s="295"/>
      <c r="O902" s="295"/>
      <c r="P902" s="295"/>
      <c r="Q902" s="296"/>
      <c r="R902" s="227"/>
      <c r="S902" s="228" t="e">
        <f>IF(C902="",NA(),MATCH($B902&amp;$C902,'Smelter Reference List'!$J:$J,0))</f>
        <v>#N/A</v>
      </c>
      <c r="T902" s="229"/>
      <c r="U902" s="229">
        <f t="shared" ca="1" si="30"/>
        <v>0</v>
      </c>
      <c r="V902" s="229"/>
      <c r="W902" s="229"/>
      <c r="Y902" s="223" t="str">
        <f t="shared" si="31"/>
        <v/>
      </c>
    </row>
    <row r="903" spans="1:25" s="223" customFormat="1" ht="20.25">
      <c r="A903" s="291"/>
      <c r="B903" s="292" t="str">
        <f>IF(LEN(A903)=0,"",INDEX('Smelter Reference List'!$A:$A,MATCH($A903,'Smelter Reference List'!$E:$E,0)))</f>
        <v/>
      </c>
      <c r="C903" s="298" t="str">
        <f>IF(LEN(A903)=0,"",INDEX('Smelter Reference List'!$C:$C,MATCH($A903,'Smelter Reference List'!$E:$E,0)))</f>
        <v/>
      </c>
      <c r="D903" s="292" t="str">
        <f ca="1">IF(ISERROR($S903),"",OFFSET('Smelter Reference List'!$C$4,$S903-4,0)&amp;"")</f>
        <v/>
      </c>
      <c r="E903" s="292" t="str">
        <f ca="1">IF(ISERROR($S903),"",OFFSET('Smelter Reference List'!$D$4,$S903-4,0)&amp;"")</f>
        <v/>
      </c>
      <c r="F903" s="292" t="str">
        <f ca="1">IF(ISERROR($S903),"",OFFSET('Smelter Reference List'!$E$4,$S903-4,0))</f>
        <v/>
      </c>
      <c r="G903" s="292" t="str">
        <f ca="1">IF(C903=$U$4,"Enter smelter details", IF(ISERROR($S903),"",OFFSET('Smelter Reference List'!$F$4,$S903-4,0)))</f>
        <v/>
      </c>
      <c r="H903" s="293" t="str">
        <f ca="1">IF(ISERROR($S903),"",OFFSET('Smelter Reference List'!$G$4,$S903-4,0))</f>
        <v/>
      </c>
      <c r="I903" s="294" t="str">
        <f ca="1">IF(ISERROR($S903),"",OFFSET('Smelter Reference List'!$H$4,$S903-4,0))</f>
        <v/>
      </c>
      <c r="J903" s="294" t="str">
        <f ca="1">IF(ISERROR($S903),"",OFFSET('Smelter Reference List'!$I$4,$S903-4,0))</f>
        <v/>
      </c>
      <c r="K903" s="295"/>
      <c r="L903" s="295"/>
      <c r="M903" s="295"/>
      <c r="N903" s="295"/>
      <c r="O903" s="295"/>
      <c r="P903" s="295"/>
      <c r="Q903" s="296"/>
      <c r="R903" s="227"/>
      <c r="S903" s="228" t="e">
        <f>IF(C903="",NA(),MATCH($B903&amp;$C903,'Smelter Reference List'!$J:$J,0))</f>
        <v>#N/A</v>
      </c>
      <c r="T903" s="229"/>
      <c r="U903" s="229">
        <f t="shared" ca="1" si="30"/>
        <v>0</v>
      </c>
      <c r="V903" s="229"/>
      <c r="W903" s="229"/>
      <c r="Y903" s="223" t="str">
        <f t="shared" si="31"/>
        <v/>
      </c>
    </row>
    <row r="904" spans="1:25" s="223" customFormat="1" ht="20.25">
      <c r="A904" s="291"/>
      <c r="B904" s="292" t="str">
        <f>IF(LEN(A904)=0,"",INDEX('Smelter Reference List'!$A:$A,MATCH($A904,'Smelter Reference List'!$E:$E,0)))</f>
        <v/>
      </c>
      <c r="C904" s="298" t="str">
        <f>IF(LEN(A904)=0,"",INDEX('Smelter Reference List'!$C:$C,MATCH($A904,'Smelter Reference List'!$E:$E,0)))</f>
        <v/>
      </c>
      <c r="D904" s="292" t="str">
        <f ca="1">IF(ISERROR($S904),"",OFFSET('Smelter Reference List'!$C$4,$S904-4,0)&amp;"")</f>
        <v/>
      </c>
      <c r="E904" s="292" t="str">
        <f ca="1">IF(ISERROR($S904),"",OFFSET('Smelter Reference List'!$D$4,$S904-4,0)&amp;"")</f>
        <v/>
      </c>
      <c r="F904" s="292" t="str">
        <f ca="1">IF(ISERROR($S904),"",OFFSET('Smelter Reference List'!$E$4,$S904-4,0))</f>
        <v/>
      </c>
      <c r="G904" s="292" t="str">
        <f ca="1">IF(C904=$U$4,"Enter smelter details", IF(ISERROR($S904),"",OFFSET('Smelter Reference List'!$F$4,$S904-4,0)))</f>
        <v/>
      </c>
      <c r="H904" s="293" t="str">
        <f ca="1">IF(ISERROR($S904),"",OFFSET('Smelter Reference List'!$G$4,$S904-4,0))</f>
        <v/>
      </c>
      <c r="I904" s="294" t="str">
        <f ca="1">IF(ISERROR($S904),"",OFFSET('Smelter Reference List'!$H$4,$S904-4,0))</f>
        <v/>
      </c>
      <c r="J904" s="294" t="str">
        <f ca="1">IF(ISERROR($S904),"",OFFSET('Smelter Reference List'!$I$4,$S904-4,0))</f>
        <v/>
      </c>
      <c r="K904" s="295"/>
      <c r="L904" s="295"/>
      <c r="M904" s="295"/>
      <c r="N904" s="295"/>
      <c r="O904" s="295"/>
      <c r="P904" s="295"/>
      <c r="Q904" s="296"/>
      <c r="R904" s="227"/>
      <c r="S904" s="228" t="e">
        <f>IF(C904="",NA(),MATCH($B904&amp;$C904,'Smelter Reference List'!$J:$J,0))</f>
        <v>#N/A</v>
      </c>
      <c r="T904" s="229"/>
      <c r="U904" s="229">
        <f t="shared" ca="1" si="30"/>
        <v>0</v>
      </c>
      <c r="V904" s="229"/>
      <c r="W904" s="229"/>
      <c r="Y904" s="223" t="str">
        <f t="shared" si="31"/>
        <v/>
      </c>
    </row>
    <row r="905" spans="1:25" s="223" customFormat="1" ht="20.25">
      <c r="A905" s="291"/>
      <c r="B905" s="292" t="str">
        <f>IF(LEN(A905)=0,"",INDEX('Smelter Reference List'!$A:$A,MATCH($A905,'Smelter Reference List'!$E:$E,0)))</f>
        <v/>
      </c>
      <c r="C905" s="298" t="str">
        <f>IF(LEN(A905)=0,"",INDEX('Smelter Reference List'!$C:$C,MATCH($A905,'Smelter Reference List'!$E:$E,0)))</f>
        <v/>
      </c>
      <c r="D905" s="292" t="str">
        <f ca="1">IF(ISERROR($S905),"",OFFSET('Smelter Reference List'!$C$4,$S905-4,0)&amp;"")</f>
        <v/>
      </c>
      <c r="E905" s="292" t="str">
        <f ca="1">IF(ISERROR($S905),"",OFFSET('Smelter Reference List'!$D$4,$S905-4,0)&amp;"")</f>
        <v/>
      </c>
      <c r="F905" s="292" t="str">
        <f ca="1">IF(ISERROR($S905),"",OFFSET('Smelter Reference List'!$E$4,$S905-4,0))</f>
        <v/>
      </c>
      <c r="G905" s="292" t="str">
        <f ca="1">IF(C905=$U$4,"Enter smelter details", IF(ISERROR($S905),"",OFFSET('Smelter Reference List'!$F$4,$S905-4,0)))</f>
        <v/>
      </c>
      <c r="H905" s="293" t="str">
        <f ca="1">IF(ISERROR($S905),"",OFFSET('Smelter Reference List'!$G$4,$S905-4,0))</f>
        <v/>
      </c>
      <c r="I905" s="294" t="str">
        <f ca="1">IF(ISERROR($S905),"",OFFSET('Smelter Reference List'!$H$4,$S905-4,0))</f>
        <v/>
      </c>
      <c r="J905" s="294" t="str">
        <f ca="1">IF(ISERROR($S905),"",OFFSET('Smelter Reference List'!$I$4,$S905-4,0))</f>
        <v/>
      </c>
      <c r="K905" s="295"/>
      <c r="L905" s="295"/>
      <c r="M905" s="295"/>
      <c r="N905" s="295"/>
      <c r="O905" s="295"/>
      <c r="P905" s="295"/>
      <c r="Q905" s="296"/>
      <c r="R905" s="227"/>
      <c r="S905" s="228" t="e">
        <f>IF(C905="",NA(),MATCH($B905&amp;$C905,'Smelter Reference List'!$J:$J,0))</f>
        <v>#N/A</v>
      </c>
      <c r="T905" s="229"/>
      <c r="U905" s="229">
        <f t="shared" ca="1" si="30"/>
        <v>0</v>
      </c>
      <c r="V905" s="229"/>
      <c r="W905" s="229"/>
      <c r="Y905" s="223" t="str">
        <f t="shared" si="31"/>
        <v/>
      </c>
    </row>
    <row r="906" spans="1:25" s="223" customFormat="1" ht="20.25">
      <c r="A906" s="291"/>
      <c r="B906" s="292" t="str">
        <f>IF(LEN(A906)=0,"",INDEX('Smelter Reference List'!$A:$A,MATCH($A906,'Smelter Reference List'!$E:$E,0)))</f>
        <v/>
      </c>
      <c r="C906" s="298" t="str">
        <f>IF(LEN(A906)=0,"",INDEX('Smelter Reference List'!$C:$C,MATCH($A906,'Smelter Reference List'!$E:$E,0)))</f>
        <v/>
      </c>
      <c r="D906" s="292" t="str">
        <f ca="1">IF(ISERROR($S906),"",OFFSET('Smelter Reference List'!$C$4,$S906-4,0)&amp;"")</f>
        <v/>
      </c>
      <c r="E906" s="292" t="str">
        <f ca="1">IF(ISERROR($S906),"",OFFSET('Smelter Reference List'!$D$4,$S906-4,0)&amp;"")</f>
        <v/>
      </c>
      <c r="F906" s="292" t="str">
        <f ca="1">IF(ISERROR($S906),"",OFFSET('Smelter Reference List'!$E$4,$S906-4,0))</f>
        <v/>
      </c>
      <c r="G906" s="292" t="str">
        <f ca="1">IF(C906=$U$4,"Enter smelter details", IF(ISERROR($S906),"",OFFSET('Smelter Reference List'!$F$4,$S906-4,0)))</f>
        <v/>
      </c>
      <c r="H906" s="293" t="str">
        <f ca="1">IF(ISERROR($S906),"",OFFSET('Smelter Reference List'!$G$4,$S906-4,0))</f>
        <v/>
      </c>
      <c r="I906" s="294" t="str">
        <f ca="1">IF(ISERROR($S906),"",OFFSET('Smelter Reference List'!$H$4,$S906-4,0))</f>
        <v/>
      </c>
      <c r="J906" s="294" t="str">
        <f ca="1">IF(ISERROR($S906),"",OFFSET('Smelter Reference List'!$I$4,$S906-4,0))</f>
        <v/>
      </c>
      <c r="K906" s="295"/>
      <c r="L906" s="295"/>
      <c r="M906" s="295"/>
      <c r="N906" s="295"/>
      <c r="O906" s="295"/>
      <c r="P906" s="295"/>
      <c r="Q906" s="296"/>
      <c r="R906" s="227"/>
      <c r="S906" s="228" t="e">
        <f>IF(C906="",NA(),MATCH($B906&amp;$C906,'Smelter Reference List'!$J:$J,0))</f>
        <v>#N/A</v>
      </c>
      <c r="T906" s="229"/>
      <c r="U906" s="229">
        <f t="shared" ca="1" si="30"/>
        <v>0</v>
      </c>
      <c r="V906" s="229"/>
      <c r="W906" s="229"/>
      <c r="Y906" s="223" t="str">
        <f t="shared" si="31"/>
        <v/>
      </c>
    </row>
    <row r="907" spans="1:25" s="223" customFormat="1" ht="20.25">
      <c r="A907" s="291"/>
      <c r="B907" s="292" t="str">
        <f>IF(LEN(A907)=0,"",INDEX('Smelter Reference List'!$A:$A,MATCH($A907,'Smelter Reference List'!$E:$E,0)))</f>
        <v/>
      </c>
      <c r="C907" s="298" t="str">
        <f>IF(LEN(A907)=0,"",INDEX('Smelter Reference List'!$C:$C,MATCH($A907,'Smelter Reference List'!$E:$E,0)))</f>
        <v/>
      </c>
      <c r="D907" s="292" t="str">
        <f ca="1">IF(ISERROR($S907),"",OFFSET('Smelter Reference List'!$C$4,$S907-4,0)&amp;"")</f>
        <v/>
      </c>
      <c r="E907" s="292" t="str">
        <f ca="1">IF(ISERROR($S907),"",OFFSET('Smelter Reference List'!$D$4,$S907-4,0)&amp;"")</f>
        <v/>
      </c>
      <c r="F907" s="292" t="str">
        <f ca="1">IF(ISERROR($S907),"",OFFSET('Smelter Reference List'!$E$4,$S907-4,0))</f>
        <v/>
      </c>
      <c r="G907" s="292" t="str">
        <f ca="1">IF(C907=$U$4,"Enter smelter details", IF(ISERROR($S907),"",OFFSET('Smelter Reference List'!$F$4,$S907-4,0)))</f>
        <v/>
      </c>
      <c r="H907" s="293" t="str">
        <f ca="1">IF(ISERROR($S907),"",OFFSET('Smelter Reference List'!$G$4,$S907-4,0))</f>
        <v/>
      </c>
      <c r="I907" s="294" t="str">
        <f ca="1">IF(ISERROR($S907),"",OFFSET('Smelter Reference List'!$H$4,$S907-4,0))</f>
        <v/>
      </c>
      <c r="J907" s="294" t="str">
        <f ca="1">IF(ISERROR($S907),"",OFFSET('Smelter Reference List'!$I$4,$S907-4,0))</f>
        <v/>
      </c>
      <c r="K907" s="295"/>
      <c r="L907" s="295"/>
      <c r="M907" s="295"/>
      <c r="N907" s="295"/>
      <c r="O907" s="295"/>
      <c r="P907" s="295"/>
      <c r="Q907" s="296"/>
      <c r="R907" s="227"/>
      <c r="S907" s="228" t="e">
        <f>IF(C907="",NA(),MATCH($B907&amp;$C907,'Smelter Reference List'!$J:$J,0))</f>
        <v>#N/A</v>
      </c>
      <c r="T907" s="229"/>
      <c r="U907" s="229">
        <f t="shared" ca="1" si="30"/>
        <v>0</v>
      </c>
      <c r="V907" s="229"/>
      <c r="W907" s="229"/>
      <c r="Y907" s="223" t="str">
        <f t="shared" si="31"/>
        <v/>
      </c>
    </row>
    <row r="908" spans="1:25" s="223" customFormat="1" ht="20.25">
      <c r="A908" s="291"/>
      <c r="B908" s="292" t="str">
        <f>IF(LEN(A908)=0,"",INDEX('Smelter Reference List'!$A:$A,MATCH($A908,'Smelter Reference List'!$E:$E,0)))</f>
        <v/>
      </c>
      <c r="C908" s="298" t="str">
        <f>IF(LEN(A908)=0,"",INDEX('Smelter Reference List'!$C:$C,MATCH($A908,'Smelter Reference List'!$E:$E,0)))</f>
        <v/>
      </c>
      <c r="D908" s="292" t="str">
        <f ca="1">IF(ISERROR($S908),"",OFFSET('Smelter Reference List'!$C$4,$S908-4,0)&amp;"")</f>
        <v/>
      </c>
      <c r="E908" s="292" t="str">
        <f ca="1">IF(ISERROR($S908),"",OFFSET('Smelter Reference List'!$D$4,$S908-4,0)&amp;"")</f>
        <v/>
      </c>
      <c r="F908" s="292" t="str">
        <f ca="1">IF(ISERROR($S908),"",OFFSET('Smelter Reference List'!$E$4,$S908-4,0))</f>
        <v/>
      </c>
      <c r="G908" s="292" t="str">
        <f ca="1">IF(C908=$U$4,"Enter smelter details", IF(ISERROR($S908),"",OFFSET('Smelter Reference List'!$F$4,$S908-4,0)))</f>
        <v/>
      </c>
      <c r="H908" s="293" t="str">
        <f ca="1">IF(ISERROR($S908),"",OFFSET('Smelter Reference List'!$G$4,$S908-4,0))</f>
        <v/>
      </c>
      <c r="I908" s="294" t="str">
        <f ca="1">IF(ISERROR($S908),"",OFFSET('Smelter Reference List'!$H$4,$S908-4,0))</f>
        <v/>
      </c>
      <c r="J908" s="294" t="str">
        <f ca="1">IF(ISERROR($S908),"",OFFSET('Smelter Reference List'!$I$4,$S908-4,0))</f>
        <v/>
      </c>
      <c r="K908" s="295"/>
      <c r="L908" s="295"/>
      <c r="M908" s="295"/>
      <c r="N908" s="295"/>
      <c r="O908" s="295"/>
      <c r="P908" s="295"/>
      <c r="Q908" s="296"/>
      <c r="R908" s="227"/>
      <c r="S908" s="228" t="e">
        <f>IF(C908="",NA(),MATCH($B908&amp;$C908,'Smelter Reference List'!$J:$J,0))</f>
        <v>#N/A</v>
      </c>
      <c r="T908" s="229"/>
      <c r="U908" s="229">
        <f t="shared" ca="1" si="30"/>
        <v>0</v>
      </c>
      <c r="V908" s="229"/>
      <c r="W908" s="229"/>
      <c r="Y908" s="223" t="str">
        <f t="shared" si="31"/>
        <v/>
      </c>
    </row>
    <row r="909" spans="1:25" s="223" customFormat="1" ht="20.25">
      <c r="A909" s="291"/>
      <c r="B909" s="292" t="str">
        <f>IF(LEN(A909)=0,"",INDEX('Smelter Reference List'!$A:$A,MATCH($A909,'Smelter Reference List'!$E:$E,0)))</f>
        <v/>
      </c>
      <c r="C909" s="298" t="str">
        <f>IF(LEN(A909)=0,"",INDEX('Smelter Reference List'!$C:$C,MATCH($A909,'Smelter Reference List'!$E:$E,0)))</f>
        <v/>
      </c>
      <c r="D909" s="292" t="str">
        <f ca="1">IF(ISERROR($S909),"",OFFSET('Smelter Reference List'!$C$4,$S909-4,0)&amp;"")</f>
        <v/>
      </c>
      <c r="E909" s="292" t="str">
        <f ca="1">IF(ISERROR($S909),"",OFFSET('Smelter Reference List'!$D$4,$S909-4,0)&amp;"")</f>
        <v/>
      </c>
      <c r="F909" s="292" t="str">
        <f ca="1">IF(ISERROR($S909),"",OFFSET('Smelter Reference List'!$E$4,$S909-4,0))</f>
        <v/>
      </c>
      <c r="G909" s="292" t="str">
        <f ca="1">IF(C909=$U$4,"Enter smelter details", IF(ISERROR($S909),"",OFFSET('Smelter Reference List'!$F$4,$S909-4,0)))</f>
        <v/>
      </c>
      <c r="H909" s="293" t="str">
        <f ca="1">IF(ISERROR($S909),"",OFFSET('Smelter Reference List'!$G$4,$S909-4,0))</f>
        <v/>
      </c>
      <c r="I909" s="294" t="str">
        <f ca="1">IF(ISERROR($S909),"",OFFSET('Smelter Reference List'!$H$4,$S909-4,0))</f>
        <v/>
      </c>
      <c r="J909" s="294" t="str">
        <f ca="1">IF(ISERROR($S909),"",OFFSET('Smelter Reference List'!$I$4,$S909-4,0))</f>
        <v/>
      </c>
      <c r="K909" s="295"/>
      <c r="L909" s="295"/>
      <c r="M909" s="295"/>
      <c r="N909" s="295"/>
      <c r="O909" s="295"/>
      <c r="P909" s="295"/>
      <c r="Q909" s="296"/>
      <c r="R909" s="227"/>
      <c r="S909" s="228" t="e">
        <f>IF(C909="",NA(),MATCH($B909&amp;$C909,'Smelter Reference List'!$J:$J,0))</f>
        <v>#N/A</v>
      </c>
      <c r="T909" s="229"/>
      <c r="U909" s="229">
        <f t="shared" ca="1" si="30"/>
        <v>0</v>
      </c>
      <c r="V909" s="229"/>
      <c r="W909" s="229"/>
      <c r="Y909" s="223" t="str">
        <f t="shared" si="31"/>
        <v/>
      </c>
    </row>
    <row r="910" spans="1:25" s="223" customFormat="1" ht="20.25">
      <c r="A910" s="291"/>
      <c r="B910" s="292" t="str">
        <f>IF(LEN(A910)=0,"",INDEX('Smelter Reference List'!$A:$A,MATCH($A910,'Smelter Reference List'!$E:$E,0)))</f>
        <v/>
      </c>
      <c r="C910" s="298" t="str">
        <f>IF(LEN(A910)=0,"",INDEX('Smelter Reference List'!$C:$C,MATCH($A910,'Smelter Reference List'!$E:$E,0)))</f>
        <v/>
      </c>
      <c r="D910" s="292" t="str">
        <f ca="1">IF(ISERROR($S910),"",OFFSET('Smelter Reference List'!$C$4,$S910-4,0)&amp;"")</f>
        <v/>
      </c>
      <c r="E910" s="292" t="str">
        <f ca="1">IF(ISERROR($S910),"",OFFSET('Smelter Reference List'!$D$4,$S910-4,0)&amp;"")</f>
        <v/>
      </c>
      <c r="F910" s="292" t="str">
        <f ca="1">IF(ISERROR($S910),"",OFFSET('Smelter Reference List'!$E$4,$S910-4,0))</f>
        <v/>
      </c>
      <c r="G910" s="292" t="str">
        <f ca="1">IF(C910=$U$4,"Enter smelter details", IF(ISERROR($S910),"",OFFSET('Smelter Reference List'!$F$4,$S910-4,0)))</f>
        <v/>
      </c>
      <c r="H910" s="293" t="str">
        <f ca="1">IF(ISERROR($S910),"",OFFSET('Smelter Reference List'!$G$4,$S910-4,0))</f>
        <v/>
      </c>
      <c r="I910" s="294" t="str">
        <f ca="1">IF(ISERROR($S910),"",OFFSET('Smelter Reference List'!$H$4,$S910-4,0))</f>
        <v/>
      </c>
      <c r="J910" s="294" t="str">
        <f ca="1">IF(ISERROR($S910),"",OFFSET('Smelter Reference List'!$I$4,$S910-4,0))</f>
        <v/>
      </c>
      <c r="K910" s="295"/>
      <c r="L910" s="295"/>
      <c r="M910" s="295"/>
      <c r="N910" s="295"/>
      <c r="O910" s="295"/>
      <c r="P910" s="295"/>
      <c r="Q910" s="296"/>
      <c r="R910" s="227"/>
      <c r="S910" s="228" t="e">
        <f>IF(C910="",NA(),MATCH($B910&amp;$C910,'Smelter Reference List'!$J:$J,0))</f>
        <v>#N/A</v>
      </c>
      <c r="T910" s="229"/>
      <c r="U910" s="229">
        <f t="shared" ca="1" si="30"/>
        <v>0</v>
      </c>
      <c r="V910" s="229"/>
      <c r="W910" s="229"/>
      <c r="Y910" s="223" t="str">
        <f t="shared" si="31"/>
        <v/>
      </c>
    </row>
    <row r="911" spans="1:25" s="223" customFormat="1" ht="20.25">
      <c r="A911" s="291"/>
      <c r="B911" s="292" t="str">
        <f>IF(LEN(A911)=0,"",INDEX('Smelter Reference List'!$A:$A,MATCH($A911,'Smelter Reference List'!$E:$E,0)))</f>
        <v/>
      </c>
      <c r="C911" s="298" t="str">
        <f>IF(LEN(A911)=0,"",INDEX('Smelter Reference List'!$C:$C,MATCH($A911,'Smelter Reference List'!$E:$E,0)))</f>
        <v/>
      </c>
      <c r="D911" s="292" t="str">
        <f ca="1">IF(ISERROR($S911),"",OFFSET('Smelter Reference List'!$C$4,$S911-4,0)&amp;"")</f>
        <v/>
      </c>
      <c r="E911" s="292" t="str">
        <f ca="1">IF(ISERROR($S911),"",OFFSET('Smelter Reference List'!$D$4,$S911-4,0)&amp;"")</f>
        <v/>
      </c>
      <c r="F911" s="292" t="str">
        <f ca="1">IF(ISERROR($S911),"",OFFSET('Smelter Reference List'!$E$4,$S911-4,0))</f>
        <v/>
      </c>
      <c r="G911" s="292" t="str">
        <f ca="1">IF(C911=$U$4,"Enter smelter details", IF(ISERROR($S911),"",OFFSET('Smelter Reference List'!$F$4,$S911-4,0)))</f>
        <v/>
      </c>
      <c r="H911" s="293" t="str">
        <f ca="1">IF(ISERROR($S911),"",OFFSET('Smelter Reference List'!$G$4,$S911-4,0))</f>
        <v/>
      </c>
      <c r="I911" s="294" t="str">
        <f ca="1">IF(ISERROR($S911),"",OFFSET('Smelter Reference List'!$H$4,$S911-4,0))</f>
        <v/>
      </c>
      <c r="J911" s="294" t="str">
        <f ca="1">IF(ISERROR($S911),"",OFFSET('Smelter Reference List'!$I$4,$S911-4,0))</f>
        <v/>
      </c>
      <c r="K911" s="295"/>
      <c r="L911" s="295"/>
      <c r="M911" s="295"/>
      <c r="N911" s="295"/>
      <c r="O911" s="295"/>
      <c r="P911" s="295"/>
      <c r="Q911" s="296"/>
      <c r="R911" s="227"/>
      <c r="S911" s="228" t="e">
        <f>IF(C911="",NA(),MATCH($B911&amp;$C911,'Smelter Reference List'!$J:$J,0))</f>
        <v>#N/A</v>
      </c>
      <c r="T911" s="229"/>
      <c r="U911" s="229">
        <f t="shared" ca="1" si="30"/>
        <v>0</v>
      </c>
      <c r="V911" s="229"/>
      <c r="W911" s="229"/>
      <c r="Y911" s="223" t="str">
        <f t="shared" si="31"/>
        <v/>
      </c>
    </row>
    <row r="912" spans="1:25" s="223" customFormat="1" ht="20.25">
      <c r="A912" s="291"/>
      <c r="B912" s="292" t="str">
        <f>IF(LEN(A912)=0,"",INDEX('Smelter Reference List'!$A:$A,MATCH($A912,'Smelter Reference List'!$E:$E,0)))</f>
        <v/>
      </c>
      <c r="C912" s="298" t="str">
        <f>IF(LEN(A912)=0,"",INDEX('Smelter Reference List'!$C:$C,MATCH($A912,'Smelter Reference List'!$E:$E,0)))</f>
        <v/>
      </c>
      <c r="D912" s="292" t="str">
        <f ca="1">IF(ISERROR($S912),"",OFFSET('Smelter Reference List'!$C$4,$S912-4,0)&amp;"")</f>
        <v/>
      </c>
      <c r="E912" s="292" t="str">
        <f ca="1">IF(ISERROR($S912),"",OFFSET('Smelter Reference List'!$D$4,$S912-4,0)&amp;"")</f>
        <v/>
      </c>
      <c r="F912" s="292" t="str">
        <f ca="1">IF(ISERROR($S912),"",OFFSET('Smelter Reference List'!$E$4,$S912-4,0))</f>
        <v/>
      </c>
      <c r="G912" s="292" t="str">
        <f ca="1">IF(C912=$U$4,"Enter smelter details", IF(ISERROR($S912),"",OFFSET('Smelter Reference List'!$F$4,$S912-4,0)))</f>
        <v/>
      </c>
      <c r="H912" s="293" t="str">
        <f ca="1">IF(ISERROR($S912),"",OFFSET('Smelter Reference List'!$G$4,$S912-4,0))</f>
        <v/>
      </c>
      <c r="I912" s="294" t="str">
        <f ca="1">IF(ISERROR($S912),"",OFFSET('Smelter Reference List'!$H$4,$S912-4,0))</f>
        <v/>
      </c>
      <c r="J912" s="294" t="str">
        <f ca="1">IF(ISERROR($S912),"",OFFSET('Smelter Reference List'!$I$4,$S912-4,0))</f>
        <v/>
      </c>
      <c r="K912" s="295"/>
      <c r="L912" s="295"/>
      <c r="M912" s="295"/>
      <c r="N912" s="295"/>
      <c r="O912" s="295"/>
      <c r="P912" s="295"/>
      <c r="Q912" s="296"/>
      <c r="R912" s="227"/>
      <c r="S912" s="228" t="e">
        <f>IF(C912="",NA(),MATCH($B912&amp;$C912,'Smelter Reference List'!$J:$J,0))</f>
        <v>#N/A</v>
      </c>
      <c r="T912" s="229"/>
      <c r="U912" s="229">
        <f t="shared" ca="1" si="30"/>
        <v>0</v>
      </c>
      <c r="V912" s="229"/>
      <c r="W912" s="229"/>
      <c r="Y912" s="223" t="str">
        <f t="shared" si="31"/>
        <v/>
      </c>
    </row>
    <row r="913" spans="1:25" s="223" customFormat="1" ht="20.25">
      <c r="A913" s="291"/>
      <c r="B913" s="292" t="str">
        <f>IF(LEN(A913)=0,"",INDEX('Smelter Reference List'!$A:$A,MATCH($A913,'Smelter Reference List'!$E:$E,0)))</f>
        <v/>
      </c>
      <c r="C913" s="298" t="str">
        <f>IF(LEN(A913)=0,"",INDEX('Smelter Reference List'!$C:$C,MATCH($A913,'Smelter Reference List'!$E:$E,0)))</f>
        <v/>
      </c>
      <c r="D913" s="292" t="str">
        <f ca="1">IF(ISERROR($S913),"",OFFSET('Smelter Reference List'!$C$4,$S913-4,0)&amp;"")</f>
        <v/>
      </c>
      <c r="E913" s="292" t="str">
        <f ca="1">IF(ISERROR($S913),"",OFFSET('Smelter Reference List'!$D$4,$S913-4,0)&amp;"")</f>
        <v/>
      </c>
      <c r="F913" s="292" t="str">
        <f ca="1">IF(ISERROR($S913),"",OFFSET('Smelter Reference List'!$E$4,$S913-4,0))</f>
        <v/>
      </c>
      <c r="G913" s="292" t="str">
        <f ca="1">IF(C913=$U$4,"Enter smelter details", IF(ISERROR($S913),"",OFFSET('Smelter Reference List'!$F$4,$S913-4,0)))</f>
        <v/>
      </c>
      <c r="H913" s="293" t="str">
        <f ca="1">IF(ISERROR($S913),"",OFFSET('Smelter Reference List'!$G$4,$S913-4,0))</f>
        <v/>
      </c>
      <c r="I913" s="294" t="str">
        <f ca="1">IF(ISERROR($S913),"",OFFSET('Smelter Reference List'!$H$4,$S913-4,0))</f>
        <v/>
      </c>
      <c r="J913" s="294" t="str">
        <f ca="1">IF(ISERROR($S913),"",OFFSET('Smelter Reference List'!$I$4,$S913-4,0))</f>
        <v/>
      </c>
      <c r="K913" s="295"/>
      <c r="L913" s="295"/>
      <c r="M913" s="295"/>
      <c r="N913" s="295"/>
      <c r="O913" s="295"/>
      <c r="P913" s="295"/>
      <c r="Q913" s="296"/>
      <c r="R913" s="227"/>
      <c r="S913" s="228" t="e">
        <f>IF(C913="",NA(),MATCH($B913&amp;$C913,'Smelter Reference List'!$J:$J,0))</f>
        <v>#N/A</v>
      </c>
      <c r="T913" s="229"/>
      <c r="U913" s="229">
        <f t="shared" ca="1" si="30"/>
        <v>0</v>
      </c>
      <c r="V913" s="229"/>
      <c r="W913" s="229"/>
      <c r="Y913" s="223" t="str">
        <f t="shared" si="31"/>
        <v/>
      </c>
    </row>
    <row r="914" spans="1:25" s="223" customFormat="1" ht="20.25">
      <c r="A914" s="291"/>
      <c r="B914" s="292" t="str">
        <f>IF(LEN(A914)=0,"",INDEX('Smelter Reference List'!$A:$A,MATCH($A914,'Smelter Reference List'!$E:$E,0)))</f>
        <v/>
      </c>
      <c r="C914" s="298" t="str">
        <f>IF(LEN(A914)=0,"",INDEX('Smelter Reference List'!$C:$C,MATCH($A914,'Smelter Reference List'!$E:$E,0)))</f>
        <v/>
      </c>
      <c r="D914" s="292" t="str">
        <f ca="1">IF(ISERROR($S914),"",OFFSET('Smelter Reference List'!$C$4,$S914-4,0)&amp;"")</f>
        <v/>
      </c>
      <c r="E914" s="292" t="str">
        <f ca="1">IF(ISERROR($S914),"",OFFSET('Smelter Reference List'!$D$4,$S914-4,0)&amp;"")</f>
        <v/>
      </c>
      <c r="F914" s="292" t="str">
        <f ca="1">IF(ISERROR($S914),"",OFFSET('Smelter Reference List'!$E$4,$S914-4,0))</f>
        <v/>
      </c>
      <c r="G914" s="292" t="str">
        <f ca="1">IF(C914=$U$4,"Enter smelter details", IF(ISERROR($S914),"",OFFSET('Smelter Reference List'!$F$4,$S914-4,0)))</f>
        <v/>
      </c>
      <c r="H914" s="293" t="str">
        <f ca="1">IF(ISERROR($S914),"",OFFSET('Smelter Reference List'!$G$4,$S914-4,0))</f>
        <v/>
      </c>
      <c r="I914" s="294" t="str">
        <f ca="1">IF(ISERROR($S914),"",OFFSET('Smelter Reference List'!$H$4,$S914-4,0))</f>
        <v/>
      </c>
      <c r="J914" s="294" t="str">
        <f ca="1">IF(ISERROR($S914),"",OFFSET('Smelter Reference List'!$I$4,$S914-4,0))</f>
        <v/>
      </c>
      <c r="K914" s="295"/>
      <c r="L914" s="295"/>
      <c r="M914" s="295"/>
      <c r="N914" s="295"/>
      <c r="O914" s="295"/>
      <c r="P914" s="295"/>
      <c r="Q914" s="296"/>
      <c r="R914" s="227"/>
      <c r="S914" s="228" t="e">
        <f>IF(C914="",NA(),MATCH($B914&amp;$C914,'Smelter Reference List'!$J:$J,0))</f>
        <v>#N/A</v>
      </c>
      <c r="T914" s="229"/>
      <c r="U914" s="229">
        <f t="shared" ca="1" si="30"/>
        <v>0</v>
      </c>
      <c r="V914" s="229"/>
      <c r="W914" s="229"/>
      <c r="Y914" s="223" t="str">
        <f t="shared" si="31"/>
        <v/>
      </c>
    </row>
    <row r="915" spans="1:25" s="223" customFormat="1" ht="20.25">
      <c r="A915" s="291"/>
      <c r="B915" s="292" t="str">
        <f>IF(LEN(A915)=0,"",INDEX('Smelter Reference List'!$A:$A,MATCH($A915,'Smelter Reference List'!$E:$E,0)))</f>
        <v/>
      </c>
      <c r="C915" s="298" t="str">
        <f>IF(LEN(A915)=0,"",INDEX('Smelter Reference List'!$C:$C,MATCH($A915,'Smelter Reference List'!$E:$E,0)))</f>
        <v/>
      </c>
      <c r="D915" s="292" t="str">
        <f ca="1">IF(ISERROR($S915),"",OFFSET('Smelter Reference List'!$C$4,$S915-4,0)&amp;"")</f>
        <v/>
      </c>
      <c r="E915" s="292" t="str">
        <f ca="1">IF(ISERROR($S915),"",OFFSET('Smelter Reference List'!$D$4,$S915-4,0)&amp;"")</f>
        <v/>
      </c>
      <c r="F915" s="292" t="str">
        <f ca="1">IF(ISERROR($S915),"",OFFSET('Smelter Reference List'!$E$4,$S915-4,0))</f>
        <v/>
      </c>
      <c r="G915" s="292" t="str">
        <f ca="1">IF(C915=$U$4,"Enter smelter details", IF(ISERROR($S915),"",OFFSET('Smelter Reference List'!$F$4,$S915-4,0)))</f>
        <v/>
      </c>
      <c r="H915" s="293" t="str">
        <f ca="1">IF(ISERROR($S915),"",OFFSET('Smelter Reference List'!$G$4,$S915-4,0))</f>
        <v/>
      </c>
      <c r="I915" s="294" t="str">
        <f ca="1">IF(ISERROR($S915),"",OFFSET('Smelter Reference List'!$H$4,$S915-4,0))</f>
        <v/>
      </c>
      <c r="J915" s="294" t="str">
        <f ca="1">IF(ISERROR($S915),"",OFFSET('Smelter Reference List'!$I$4,$S915-4,0))</f>
        <v/>
      </c>
      <c r="K915" s="295"/>
      <c r="L915" s="295"/>
      <c r="M915" s="295"/>
      <c r="N915" s="295"/>
      <c r="O915" s="295"/>
      <c r="P915" s="295"/>
      <c r="Q915" s="296"/>
      <c r="R915" s="227"/>
      <c r="S915" s="228" t="e">
        <f>IF(C915="",NA(),MATCH($B915&amp;$C915,'Smelter Reference List'!$J:$J,0))</f>
        <v>#N/A</v>
      </c>
      <c r="T915" s="229"/>
      <c r="U915" s="229">
        <f t="shared" ca="1" si="30"/>
        <v>0</v>
      </c>
      <c r="V915" s="229"/>
      <c r="W915" s="229"/>
      <c r="Y915" s="223" t="str">
        <f t="shared" si="31"/>
        <v/>
      </c>
    </row>
    <row r="916" spans="1:25" s="223" customFormat="1" ht="20.25">
      <c r="A916" s="291"/>
      <c r="B916" s="292" t="str">
        <f>IF(LEN(A916)=0,"",INDEX('Smelter Reference List'!$A:$A,MATCH($A916,'Smelter Reference List'!$E:$E,0)))</f>
        <v/>
      </c>
      <c r="C916" s="298" t="str">
        <f>IF(LEN(A916)=0,"",INDEX('Smelter Reference List'!$C:$C,MATCH($A916,'Smelter Reference List'!$E:$E,0)))</f>
        <v/>
      </c>
      <c r="D916" s="292" t="str">
        <f ca="1">IF(ISERROR($S916),"",OFFSET('Smelter Reference List'!$C$4,$S916-4,0)&amp;"")</f>
        <v/>
      </c>
      <c r="E916" s="292" t="str">
        <f ca="1">IF(ISERROR($S916),"",OFFSET('Smelter Reference List'!$D$4,$S916-4,0)&amp;"")</f>
        <v/>
      </c>
      <c r="F916" s="292" t="str">
        <f ca="1">IF(ISERROR($S916),"",OFFSET('Smelter Reference List'!$E$4,$S916-4,0))</f>
        <v/>
      </c>
      <c r="G916" s="292" t="str">
        <f ca="1">IF(C916=$U$4,"Enter smelter details", IF(ISERROR($S916),"",OFFSET('Smelter Reference List'!$F$4,$S916-4,0)))</f>
        <v/>
      </c>
      <c r="H916" s="293" t="str">
        <f ca="1">IF(ISERROR($S916),"",OFFSET('Smelter Reference List'!$G$4,$S916-4,0))</f>
        <v/>
      </c>
      <c r="I916" s="294" t="str">
        <f ca="1">IF(ISERROR($S916),"",OFFSET('Smelter Reference List'!$H$4,$S916-4,0))</f>
        <v/>
      </c>
      <c r="J916" s="294" t="str">
        <f ca="1">IF(ISERROR($S916),"",OFFSET('Smelter Reference List'!$I$4,$S916-4,0))</f>
        <v/>
      </c>
      <c r="K916" s="295"/>
      <c r="L916" s="295"/>
      <c r="M916" s="295"/>
      <c r="N916" s="295"/>
      <c r="O916" s="295"/>
      <c r="P916" s="295"/>
      <c r="Q916" s="296"/>
      <c r="R916" s="227"/>
      <c r="S916" s="228" t="e">
        <f>IF(C916="",NA(),MATCH($B916&amp;$C916,'Smelter Reference List'!$J:$J,0))</f>
        <v>#N/A</v>
      </c>
      <c r="T916" s="229"/>
      <c r="U916" s="229">
        <f t="shared" ca="1" si="30"/>
        <v>0</v>
      </c>
      <c r="V916" s="229"/>
      <c r="W916" s="229"/>
      <c r="Y916" s="223" t="str">
        <f t="shared" si="31"/>
        <v/>
      </c>
    </row>
    <row r="917" spans="1:25" s="223" customFormat="1" ht="20.25">
      <c r="A917" s="291"/>
      <c r="B917" s="292" t="str">
        <f>IF(LEN(A917)=0,"",INDEX('Smelter Reference List'!$A:$A,MATCH($A917,'Smelter Reference List'!$E:$E,0)))</f>
        <v/>
      </c>
      <c r="C917" s="298" t="str">
        <f>IF(LEN(A917)=0,"",INDEX('Smelter Reference List'!$C:$C,MATCH($A917,'Smelter Reference List'!$E:$E,0)))</f>
        <v/>
      </c>
      <c r="D917" s="292" t="str">
        <f ca="1">IF(ISERROR($S917),"",OFFSET('Smelter Reference List'!$C$4,$S917-4,0)&amp;"")</f>
        <v/>
      </c>
      <c r="E917" s="292" t="str">
        <f ca="1">IF(ISERROR($S917),"",OFFSET('Smelter Reference List'!$D$4,$S917-4,0)&amp;"")</f>
        <v/>
      </c>
      <c r="F917" s="292" t="str">
        <f ca="1">IF(ISERROR($S917),"",OFFSET('Smelter Reference List'!$E$4,$S917-4,0))</f>
        <v/>
      </c>
      <c r="G917" s="292" t="str">
        <f ca="1">IF(C917=$U$4,"Enter smelter details", IF(ISERROR($S917),"",OFFSET('Smelter Reference List'!$F$4,$S917-4,0)))</f>
        <v/>
      </c>
      <c r="H917" s="293" t="str">
        <f ca="1">IF(ISERROR($S917),"",OFFSET('Smelter Reference List'!$G$4,$S917-4,0))</f>
        <v/>
      </c>
      <c r="I917" s="294" t="str">
        <f ca="1">IF(ISERROR($S917),"",OFFSET('Smelter Reference List'!$H$4,$S917-4,0))</f>
        <v/>
      </c>
      <c r="J917" s="294" t="str">
        <f ca="1">IF(ISERROR($S917),"",OFFSET('Smelter Reference List'!$I$4,$S917-4,0))</f>
        <v/>
      </c>
      <c r="K917" s="295"/>
      <c r="L917" s="295"/>
      <c r="M917" s="295"/>
      <c r="N917" s="295"/>
      <c r="O917" s="295"/>
      <c r="P917" s="295"/>
      <c r="Q917" s="296"/>
      <c r="R917" s="227"/>
      <c r="S917" s="228" t="e">
        <f>IF(C917="",NA(),MATCH($B917&amp;$C917,'Smelter Reference List'!$J:$J,0))</f>
        <v>#N/A</v>
      </c>
      <c r="T917" s="229"/>
      <c r="U917" s="229">
        <f t="shared" ca="1" si="30"/>
        <v>0</v>
      </c>
      <c r="V917" s="229"/>
      <c r="W917" s="229"/>
      <c r="Y917" s="223" t="str">
        <f t="shared" si="31"/>
        <v/>
      </c>
    </row>
    <row r="918" spans="1:25" s="223" customFormat="1" ht="20.25">
      <c r="A918" s="291"/>
      <c r="B918" s="292" t="str">
        <f>IF(LEN(A918)=0,"",INDEX('Smelter Reference List'!$A:$A,MATCH($A918,'Smelter Reference List'!$E:$E,0)))</f>
        <v/>
      </c>
      <c r="C918" s="298" t="str">
        <f>IF(LEN(A918)=0,"",INDEX('Smelter Reference List'!$C:$C,MATCH($A918,'Smelter Reference List'!$E:$E,0)))</f>
        <v/>
      </c>
      <c r="D918" s="292" t="str">
        <f ca="1">IF(ISERROR($S918),"",OFFSET('Smelter Reference List'!$C$4,$S918-4,0)&amp;"")</f>
        <v/>
      </c>
      <c r="E918" s="292" t="str">
        <f ca="1">IF(ISERROR($S918),"",OFFSET('Smelter Reference List'!$D$4,$S918-4,0)&amp;"")</f>
        <v/>
      </c>
      <c r="F918" s="292" t="str">
        <f ca="1">IF(ISERROR($S918),"",OFFSET('Smelter Reference List'!$E$4,$S918-4,0))</f>
        <v/>
      </c>
      <c r="G918" s="292" t="str">
        <f ca="1">IF(C918=$U$4,"Enter smelter details", IF(ISERROR($S918),"",OFFSET('Smelter Reference List'!$F$4,$S918-4,0)))</f>
        <v/>
      </c>
      <c r="H918" s="293" t="str">
        <f ca="1">IF(ISERROR($S918),"",OFFSET('Smelter Reference List'!$G$4,$S918-4,0))</f>
        <v/>
      </c>
      <c r="I918" s="294" t="str">
        <f ca="1">IF(ISERROR($S918),"",OFFSET('Smelter Reference List'!$H$4,$S918-4,0))</f>
        <v/>
      </c>
      <c r="J918" s="294" t="str">
        <f ca="1">IF(ISERROR($S918),"",OFFSET('Smelter Reference List'!$I$4,$S918-4,0))</f>
        <v/>
      </c>
      <c r="K918" s="295"/>
      <c r="L918" s="295"/>
      <c r="M918" s="295"/>
      <c r="N918" s="295"/>
      <c r="O918" s="295"/>
      <c r="P918" s="295"/>
      <c r="Q918" s="296"/>
      <c r="R918" s="227"/>
      <c r="S918" s="228" t="e">
        <f>IF(C918="",NA(),MATCH($B918&amp;$C918,'Smelter Reference List'!$J:$J,0))</f>
        <v>#N/A</v>
      </c>
      <c r="T918" s="229"/>
      <c r="U918" s="229">
        <f t="shared" ca="1" si="30"/>
        <v>0</v>
      </c>
      <c r="V918" s="229"/>
      <c r="W918" s="229"/>
      <c r="Y918" s="223" t="str">
        <f t="shared" si="31"/>
        <v/>
      </c>
    </row>
    <row r="919" spans="1:25" s="223" customFormat="1" ht="20.25">
      <c r="A919" s="291"/>
      <c r="B919" s="292" t="str">
        <f>IF(LEN(A919)=0,"",INDEX('Smelter Reference List'!$A:$A,MATCH($A919,'Smelter Reference List'!$E:$E,0)))</f>
        <v/>
      </c>
      <c r="C919" s="298" t="str">
        <f>IF(LEN(A919)=0,"",INDEX('Smelter Reference List'!$C:$C,MATCH($A919,'Smelter Reference List'!$E:$E,0)))</f>
        <v/>
      </c>
      <c r="D919" s="292" t="str">
        <f ca="1">IF(ISERROR($S919),"",OFFSET('Smelter Reference List'!$C$4,$S919-4,0)&amp;"")</f>
        <v/>
      </c>
      <c r="E919" s="292" t="str">
        <f ca="1">IF(ISERROR($S919),"",OFFSET('Smelter Reference List'!$D$4,$S919-4,0)&amp;"")</f>
        <v/>
      </c>
      <c r="F919" s="292" t="str">
        <f ca="1">IF(ISERROR($S919),"",OFFSET('Smelter Reference List'!$E$4,$S919-4,0))</f>
        <v/>
      </c>
      <c r="G919" s="292" t="str">
        <f ca="1">IF(C919=$U$4,"Enter smelter details", IF(ISERROR($S919),"",OFFSET('Smelter Reference List'!$F$4,$S919-4,0)))</f>
        <v/>
      </c>
      <c r="H919" s="293" t="str">
        <f ca="1">IF(ISERROR($S919),"",OFFSET('Smelter Reference List'!$G$4,$S919-4,0))</f>
        <v/>
      </c>
      <c r="I919" s="294" t="str">
        <f ca="1">IF(ISERROR($S919),"",OFFSET('Smelter Reference List'!$H$4,$S919-4,0))</f>
        <v/>
      </c>
      <c r="J919" s="294" t="str">
        <f ca="1">IF(ISERROR($S919),"",OFFSET('Smelter Reference List'!$I$4,$S919-4,0))</f>
        <v/>
      </c>
      <c r="K919" s="295"/>
      <c r="L919" s="295"/>
      <c r="M919" s="295"/>
      <c r="N919" s="295"/>
      <c r="O919" s="295"/>
      <c r="P919" s="295"/>
      <c r="Q919" s="296"/>
      <c r="R919" s="227"/>
      <c r="S919" s="228" t="e">
        <f>IF(C919="",NA(),MATCH($B919&amp;$C919,'Smelter Reference List'!$J:$J,0))</f>
        <v>#N/A</v>
      </c>
      <c r="T919" s="229"/>
      <c r="U919" s="229">
        <f t="shared" ca="1" si="30"/>
        <v>0</v>
      </c>
      <c r="V919" s="229"/>
      <c r="W919" s="229"/>
      <c r="Y919" s="223" t="str">
        <f t="shared" si="31"/>
        <v/>
      </c>
    </row>
    <row r="920" spans="1:25" s="223" customFormat="1" ht="20.25">
      <c r="A920" s="291"/>
      <c r="B920" s="292" t="str">
        <f>IF(LEN(A920)=0,"",INDEX('Smelter Reference List'!$A:$A,MATCH($A920,'Smelter Reference List'!$E:$E,0)))</f>
        <v/>
      </c>
      <c r="C920" s="298" t="str">
        <f>IF(LEN(A920)=0,"",INDEX('Smelter Reference List'!$C:$C,MATCH($A920,'Smelter Reference List'!$E:$E,0)))</f>
        <v/>
      </c>
      <c r="D920" s="292" t="str">
        <f ca="1">IF(ISERROR($S920),"",OFFSET('Smelter Reference List'!$C$4,$S920-4,0)&amp;"")</f>
        <v/>
      </c>
      <c r="E920" s="292" t="str">
        <f ca="1">IF(ISERROR($S920),"",OFFSET('Smelter Reference List'!$D$4,$S920-4,0)&amp;"")</f>
        <v/>
      </c>
      <c r="F920" s="292" t="str">
        <f ca="1">IF(ISERROR($S920),"",OFFSET('Smelter Reference List'!$E$4,$S920-4,0))</f>
        <v/>
      </c>
      <c r="G920" s="292" t="str">
        <f ca="1">IF(C920=$U$4,"Enter smelter details", IF(ISERROR($S920),"",OFFSET('Smelter Reference List'!$F$4,$S920-4,0)))</f>
        <v/>
      </c>
      <c r="H920" s="293" t="str">
        <f ca="1">IF(ISERROR($S920),"",OFFSET('Smelter Reference List'!$G$4,$S920-4,0))</f>
        <v/>
      </c>
      <c r="I920" s="294" t="str">
        <f ca="1">IF(ISERROR($S920),"",OFFSET('Smelter Reference List'!$H$4,$S920-4,0))</f>
        <v/>
      </c>
      <c r="J920" s="294" t="str">
        <f ca="1">IF(ISERROR($S920),"",OFFSET('Smelter Reference List'!$I$4,$S920-4,0))</f>
        <v/>
      </c>
      <c r="K920" s="295"/>
      <c r="L920" s="295"/>
      <c r="M920" s="295"/>
      <c r="N920" s="295"/>
      <c r="O920" s="295"/>
      <c r="P920" s="295"/>
      <c r="Q920" s="296"/>
      <c r="R920" s="227"/>
      <c r="S920" s="228" t="e">
        <f>IF(C920="",NA(),MATCH($B920&amp;$C920,'Smelter Reference List'!$J:$J,0))</f>
        <v>#N/A</v>
      </c>
      <c r="T920" s="229"/>
      <c r="U920" s="229">
        <f t="shared" ca="1" si="30"/>
        <v>0</v>
      </c>
      <c r="V920" s="229"/>
      <c r="W920" s="229"/>
      <c r="Y920" s="223" t="str">
        <f t="shared" si="31"/>
        <v/>
      </c>
    </row>
    <row r="921" spans="1:25" s="223" customFormat="1" ht="20.25">
      <c r="A921" s="291"/>
      <c r="B921" s="292" t="str">
        <f>IF(LEN(A921)=0,"",INDEX('Smelter Reference List'!$A:$A,MATCH($A921,'Smelter Reference List'!$E:$E,0)))</f>
        <v/>
      </c>
      <c r="C921" s="298" t="str">
        <f>IF(LEN(A921)=0,"",INDEX('Smelter Reference List'!$C:$C,MATCH($A921,'Smelter Reference List'!$E:$E,0)))</f>
        <v/>
      </c>
      <c r="D921" s="292" t="str">
        <f ca="1">IF(ISERROR($S921),"",OFFSET('Smelter Reference List'!$C$4,$S921-4,0)&amp;"")</f>
        <v/>
      </c>
      <c r="E921" s="292" t="str">
        <f ca="1">IF(ISERROR($S921),"",OFFSET('Smelter Reference List'!$D$4,$S921-4,0)&amp;"")</f>
        <v/>
      </c>
      <c r="F921" s="292" t="str">
        <f ca="1">IF(ISERROR($S921),"",OFFSET('Smelter Reference List'!$E$4,$S921-4,0))</f>
        <v/>
      </c>
      <c r="G921" s="292" t="str">
        <f ca="1">IF(C921=$U$4,"Enter smelter details", IF(ISERROR($S921),"",OFFSET('Smelter Reference List'!$F$4,$S921-4,0)))</f>
        <v/>
      </c>
      <c r="H921" s="293" t="str">
        <f ca="1">IF(ISERROR($S921),"",OFFSET('Smelter Reference List'!$G$4,$S921-4,0))</f>
        <v/>
      </c>
      <c r="I921" s="294" t="str">
        <f ca="1">IF(ISERROR($S921),"",OFFSET('Smelter Reference List'!$H$4,$S921-4,0))</f>
        <v/>
      </c>
      <c r="J921" s="294" t="str">
        <f ca="1">IF(ISERROR($S921),"",OFFSET('Smelter Reference List'!$I$4,$S921-4,0))</f>
        <v/>
      </c>
      <c r="K921" s="295"/>
      <c r="L921" s="295"/>
      <c r="M921" s="295"/>
      <c r="N921" s="295"/>
      <c r="O921" s="295"/>
      <c r="P921" s="295"/>
      <c r="Q921" s="296"/>
      <c r="R921" s="227"/>
      <c r="S921" s="228" t="e">
        <f>IF(C921="",NA(),MATCH($B921&amp;$C921,'Smelter Reference List'!$J:$J,0))</f>
        <v>#N/A</v>
      </c>
      <c r="T921" s="229"/>
      <c r="U921" s="229">
        <f t="shared" ca="1" si="30"/>
        <v>0</v>
      </c>
      <c r="V921" s="229"/>
      <c r="W921" s="229"/>
      <c r="Y921" s="223" t="str">
        <f t="shared" si="31"/>
        <v/>
      </c>
    </row>
    <row r="922" spans="1:25" s="223" customFormat="1" ht="20.25">
      <c r="A922" s="291"/>
      <c r="B922" s="292" t="str">
        <f>IF(LEN(A922)=0,"",INDEX('Smelter Reference List'!$A:$A,MATCH($A922,'Smelter Reference List'!$E:$E,0)))</f>
        <v/>
      </c>
      <c r="C922" s="298" t="str">
        <f>IF(LEN(A922)=0,"",INDEX('Smelter Reference List'!$C:$C,MATCH($A922,'Smelter Reference List'!$E:$E,0)))</f>
        <v/>
      </c>
      <c r="D922" s="292" t="str">
        <f ca="1">IF(ISERROR($S922),"",OFFSET('Smelter Reference List'!$C$4,$S922-4,0)&amp;"")</f>
        <v/>
      </c>
      <c r="E922" s="292" t="str">
        <f ca="1">IF(ISERROR($S922),"",OFFSET('Smelter Reference List'!$D$4,$S922-4,0)&amp;"")</f>
        <v/>
      </c>
      <c r="F922" s="292" t="str">
        <f ca="1">IF(ISERROR($S922),"",OFFSET('Smelter Reference List'!$E$4,$S922-4,0))</f>
        <v/>
      </c>
      <c r="G922" s="292" t="str">
        <f ca="1">IF(C922=$U$4,"Enter smelter details", IF(ISERROR($S922),"",OFFSET('Smelter Reference List'!$F$4,$S922-4,0)))</f>
        <v/>
      </c>
      <c r="H922" s="293" t="str">
        <f ca="1">IF(ISERROR($S922),"",OFFSET('Smelter Reference List'!$G$4,$S922-4,0))</f>
        <v/>
      </c>
      <c r="I922" s="294" t="str">
        <f ca="1">IF(ISERROR($S922),"",OFFSET('Smelter Reference List'!$H$4,$S922-4,0))</f>
        <v/>
      </c>
      <c r="J922" s="294" t="str">
        <f ca="1">IF(ISERROR($S922),"",OFFSET('Smelter Reference List'!$I$4,$S922-4,0))</f>
        <v/>
      </c>
      <c r="K922" s="295"/>
      <c r="L922" s="295"/>
      <c r="M922" s="295"/>
      <c r="N922" s="295"/>
      <c r="O922" s="295"/>
      <c r="P922" s="295"/>
      <c r="Q922" s="296"/>
      <c r="R922" s="227"/>
      <c r="S922" s="228" t="e">
        <f>IF(C922="",NA(),MATCH($B922&amp;$C922,'Smelter Reference List'!$J:$J,0))</f>
        <v>#N/A</v>
      </c>
      <c r="T922" s="229"/>
      <c r="U922" s="229">
        <f t="shared" ca="1" si="30"/>
        <v>0</v>
      </c>
      <c r="V922" s="229"/>
      <c r="W922" s="229"/>
      <c r="Y922" s="223" t="str">
        <f t="shared" si="31"/>
        <v/>
      </c>
    </row>
    <row r="923" spans="1:25" s="223" customFormat="1" ht="20.25">
      <c r="A923" s="291"/>
      <c r="B923" s="292" t="str">
        <f>IF(LEN(A923)=0,"",INDEX('Smelter Reference List'!$A:$A,MATCH($A923,'Smelter Reference List'!$E:$E,0)))</f>
        <v/>
      </c>
      <c r="C923" s="298" t="str">
        <f>IF(LEN(A923)=0,"",INDEX('Smelter Reference List'!$C:$C,MATCH($A923,'Smelter Reference List'!$E:$E,0)))</f>
        <v/>
      </c>
      <c r="D923" s="292" t="str">
        <f ca="1">IF(ISERROR($S923),"",OFFSET('Smelter Reference List'!$C$4,$S923-4,0)&amp;"")</f>
        <v/>
      </c>
      <c r="E923" s="292" t="str">
        <f ca="1">IF(ISERROR($S923),"",OFFSET('Smelter Reference List'!$D$4,$S923-4,0)&amp;"")</f>
        <v/>
      </c>
      <c r="F923" s="292" t="str">
        <f ca="1">IF(ISERROR($S923),"",OFFSET('Smelter Reference List'!$E$4,$S923-4,0))</f>
        <v/>
      </c>
      <c r="G923" s="292" t="str">
        <f ca="1">IF(C923=$U$4,"Enter smelter details", IF(ISERROR($S923),"",OFFSET('Smelter Reference List'!$F$4,$S923-4,0)))</f>
        <v/>
      </c>
      <c r="H923" s="293" t="str">
        <f ca="1">IF(ISERROR($S923),"",OFFSET('Smelter Reference List'!$G$4,$S923-4,0))</f>
        <v/>
      </c>
      <c r="I923" s="294" t="str">
        <f ca="1">IF(ISERROR($S923),"",OFFSET('Smelter Reference List'!$H$4,$S923-4,0))</f>
        <v/>
      </c>
      <c r="J923" s="294" t="str">
        <f ca="1">IF(ISERROR($S923),"",OFFSET('Smelter Reference List'!$I$4,$S923-4,0))</f>
        <v/>
      </c>
      <c r="K923" s="295"/>
      <c r="L923" s="295"/>
      <c r="M923" s="295"/>
      <c r="N923" s="295"/>
      <c r="O923" s="295"/>
      <c r="P923" s="295"/>
      <c r="Q923" s="296"/>
      <c r="R923" s="227"/>
      <c r="S923" s="228" t="e">
        <f>IF(C923="",NA(),MATCH($B923&amp;$C923,'Smelter Reference List'!$J:$J,0))</f>
        <v>#N/A</v>
      </c>
      <c r="T923" s="229"/>
      <c r="U923" s="229">
        <f t="shared" ca="1" si="30"/>
        <v>0</v>
      </c>
      <c r="V923" s="229"/>
      <c r="W923" s="229"/>
      <c r="Y923" s="223" t="str">
        <f t="shared" si="31"/>
        <v/>
      </c>
    </row>
    <row r="924" spans="1:25" s="223" customFormat="1" ht="20.25">
      <c r="A924" s="291"/>
      <c r="B924" s="292" t="str">
        <f>IF(LEN(A924)=0,"",INDEX('Smelter Reference List'!$A:$A,MATCH($A924,'Smelter Reference List'!$E:$E,0)))</f>
        <v/>
      </c>
      <c r="C924" s="298" t="str">
        <f>IF(LEN(A924)=0,"",INDEX('Smelter Reference List'!$C:$C,MATCH($A924,'Smelter Reference List'!$E:$E,0)))</f>
        <v/>
      </c>
      <c r="D924" s="292" t="str">
        <f ca="1">IF(ISERROR($S924),"",OFFSET('Smelter Reference List'!$C$4,$S924-4,0)&amp;"")</f>
        <v/>
      </c>
      <c r="E924" s="292" t="str">
        <f ca="1">IF(ISERROR($S924),"",OFFSET('Smelter Reference List'!$D$4,$S924-4,0)&amp;"")</f>
        <v/>
      </c>
      <c r="F924" s="292" t="str">
        <f ca="1">IF(ISERROR($S924),"",OFFSET('Smelter Reference List'!$E$4,$S924-4,0))</f>
        <v/>
      </c>
      <c r="G924" s="292" t="str">
        <f ca="1">IF(C924=$U$4,"Enter smelter details", IF(ISERROR($S924),"",OFFSET('Smelter Reference List'!$F$4,$S924-4,0)))</f>
        <v/>
      </c>
      <c r="H924" s="293" t="str">
        <f ca="1">IF(ISERROR($S924),"",OFFSET('Smelter Reference List'!$G$4,$S924-4,0))</f>
        <v/>
      </c>
      <c r="I924" s="294" t="str">
        <f ca="1">IF(ISERROR($S924),"",OFFSET('Smelter Reference List'!$H$4,$S924-4,0))</f>
        <v/>
      </c>
      <c r="J924" s="294" t="str">
        <f ca="1">IF(ISERROR($S924),"",OFFSET('Smelter Reference List'!$I$4,$S924-4,0))</f>
        <v/>
      </c>
      <c r="K924" s="295"/>
      <c r="L924" s="295"/>
      <c r="M924" s="295"/>
      <c r="N924" s="295"/>
      <c r="O924" s="295"/>
      <c r="P924" s="295"/>
      <c r="Q924" s="296"/>
      <c r="R924" s="227"/>
      <c r="S924" s="228" t="e">
        <f>IF(C924="",NA(),MATCH($B924&amp;$C924,'Smelter Reference List'!$J:$J,0))</f>
        <v>#N/A</v>
      </c>
      <c r="T924" s="229"/>
      <c r="U924" s="229">
        <f t="shared" ca="1" si="30"/>
        <v>0</v>
      </c>
      <c r="V924" s="229"/>
      <c r="W924" s="229"/>
      <c r="Y924" s="223" t="str">
        <f t="shared" si="31"/>
        <v/>
      </c>
    </row>
    <row r="925" spans="1:25" s="223" customFormat="1" ht="20.25">
      <c r="A925" s="291"/>
      <c r="B925" s="292" t="str">
        <f>IF(LEN(A925)=0,"",INDEX('Smelter Reference List'!$A:$A,MATCH($A925,'Smelter Reference List'!$E:$E,0)))</f>
        <v/>
      </c>
      <c r="C925" s="298" t="str">
        <f>IF(LEN(A925)=0,"",INDEX('Smelter Reference List'!$C:$C,MATCH($A925,'Smelter Reference List'!$E:$E,0)))</f>
        <v/>
      </c>
      <c r="D925" s="292" t="str">
        <f ca="1">IF(ISERROR($S925),"",OFFSET('Smelter Reference List'!$C$4,$S925-4,0)&amp;"")</f>
        <v/>
      </c>
      <c r="E925" s="292" t="str">
        <f ca="1">IF(ISERROR($S925),"",OFFSET('Smelter Reference List'!$D$4,$S925-4,0)&amp;"")</f>
        <v/>
      </c>
      <c r="F925" s="292" t="str">
        <f ca="1">IF(ISERROR($S925),"",OFFSET('Smelter Reference List'!$E$4,$S925-4,0))</f>
        <v/>
      </c>
      <c r="G925" s="292" t="str">
        <f ca="1">IF(C925=$U$4,"Enter smelter details", IF(ISERROR($S925),"",OFFSET('Smelter Reference List'!$F$4,$S925-4,0)))</f>
        <v/>
      </c>
      <c r="H925" s="293" t="str">
        <f ca="1">IF(ISERROR($S925),"",OFFSET('Smelter Reference List'!$G$4,$S925-4,0))</f>
        <v/>
      </c>
      <c r="I925" s="294" t="str">
        <f ca="1">IF(ISERROR($S925),"",OFFSET('Smelter Reference List'!$H$4,$S925-4,0))</f>
        <v/>
      </c>
      <c r="J925" s="294" t="str">
        <f ca="1">IF(ISERROR($S925),"",OFFSET('Smelter Reference List'!$I$4,$S925-4,0))</f>
        <v/>
      </c>
      <c r="K925" s="295"/>
      <c r="L925" s="295"/>
      <c r="M925" s="295"/>
      <c r="N925" s="295"/>
      <c r="O925" s="295"/>
      <c r="P925" s="295"/>
      <c r="Q925" s="296"/>
      <c r="R925" s="227"/>
      <c r="S925" s="228" t="e">
        <f>IF(C925="",NA(),MATCH($B925&amp;$C925,'Smelter Reference List'!$J:$J,0))</f>
        <v>#N/A</v>
      </c>
      <c r="T925" s="229"/>
      <c r="U925" s="229">
        <f t="shared" ca="1" si="30"/>
        <v>0</v>
      </c>
      <c r="V925" s="229"/>
      <c r="W925" s="229"/>
      <c r="Y925" s="223" t="str">
        <f t="shared" si="31"/>
        <v/>
      </c>
    </row>
    <row r="926" spans="1:25" s="223" customFormat="1" ht="20.25">
      <c r="A926" s="291"/>
      <c r="B926" s="292" t="str">
        <f>IF(LEN(A926)=0,"",INDEX('Smelter Reference List'!$A:$A,MATCH($A926,'Smelter Reference List'!$E:$E,0)))</f>
        <v/>
      </c>
      <c r="C926" s="298" t="str">
        <f>IF(LEN(A926)=0,"",INDEX('Smelter Reference List'!$C:$C,MATCH($A926,'Smelter Reference List'!$E:$E,0)))</f>
        <v/>
      </c>
      <c r="D926" s="292" t="str">
        <f ca="1">IF(ISERROR($S926),"",OFFSET('Smelter Reference List'!$C$4,$S926-4,0)&amp;"")</f>
        <v/>
      </c>
      <c r="E926" s="292" t="str">
        <f ca="1">IF(ISERROR($S926),"",OFFSET('Smelter Reference List'!$D$4,$S926-4,0)&amp;"")</f>
        <v/>
      </c>
      <c r="F926" s="292" t="str">
        <f ca="1">IF(ISERROR($S926),"",OFFSET('Smelter Reference List'!$E$4,$S926-4,0))</f>
        <v/>
      </c>
      <c r="G926" s="292" t="str">
        <f ca="1">IF(C926=$U$4,"Enter smelter details", IF(ISERROR($S926),"",OFFSET('Smelter Reference List'!$F$4,$S926-4,0)))</f>
        <v/>
      </c>
      <c r="H926" s="293" t="str">
        <f ca="1">IF(ISERROR($S926),"",OFFSET('Smelter Reference List'!$G$4,$S926-4,0))</f>
        <v/>
      </c>
      <c r="I926" s="294" t="str">
        <f ca="1">IF(ISERROR($S926),"",OFFSET('Smelter Reference List'!$H$4,$S926-4,0))</f>
        <v/>
      </c>
      <c r="J926" s="294" t="str">
        <f ca="1">IF(ISERROR($S926),"",OFFSET('Smelter Reference List'!$I$4,$S926-4,0))</f>
        <v/>
      </c>
      <c r="K926" s="295"/>
      <c r="L926" s="295"/>
      <c r="M926" s="295"/>
      <c r="N926" s="295"/>
      <c r="O926" s="295"/>
      <c r="P926" s="295"/>
      <c r="Q926" s="296"/>
      <c r="R926" s="227"/>
      <c r="S926" s="228" t="e">
        <f>IF(C926="",NA(),MATCH($B926&amp;$C926,'Smelter Reference List'!$J:$J,0))</f>
        <v>#N/A</v>
      </c>
      <c r="T926" s="229"/>
      <c r="U926" s="229">
        <f t="shared" ca="1" si="30"/>
        <v>0</v>
      </c>
      <c r="V926" s="229"/>
      <c r="W926" s="229"/>
      <c r="Y926" s="223" t="str">
        <f t="shared" si="31"/>
        <v/>
      </c>
    </row>
    <row r="927" spans="1:25" s="223" customFormat="1" ht="20.25">
      <c r="A927" s="291"/>
      <c r="B927" s="292" t="str">
        <f>IF(LEN(A927)=0,"",INDEX('Smelter Reference List'!$A:$A,MATCH($A927,'Smelter Reference List'!$E:$E,0)))</f>
        <v/>
      </c>
      <c r="C927" s="298" t="str">
        <f>IF(LEN(A927)=0,"",INDEX('Smelter Reference List'!$C:$C,MATCH($A927,'Smelter Reference List'!$E:$E,0)))</f>
        <v/>
      </c>
      <c r="D927" s="292" t="str">
        <f ca="1">IF(ISERROR($S927),"",OFFSET('Smelter Reference List'!$C$4,$S927-4,0)&amp;"")</f>
        <v/>
      </c>
      <c r="E927" s="292" t="str">
        <f ca="1">IF(ISERROR($S927),"",OFFSET('Smelter Reference List'!$D$4,$S927-4,0)&amp;"")</f>
        <v/>
      </c>
      <c r="F927" s="292" t="str">
        <f ca="1">IF(ISERROR($S927),"",OFFSET('Smelter Reference List'!$E$4,$S927-4,0))</f>
        <v/>
      </c>
      <c r="G927" s="292" t="str">
        <f ca="1">IF(C927=$U$4,"Enter smelter details", IF(ISERROR($S927),"",OFFSET('Smelter Reference List'!$F$4,$S927-4,0)))</f>
        <v/>
      </c>
      <c r="H927" s="293" t="str">
        <f ca="1">IF(ISERROR($S927),"",OFFSET('Smelter Reference List'!$G$4,$S927-4,0))</f>
        <v/>
      </c>
      <c r="I927" s="294" t="str">
        <f ca="1">IF(ISERROR($S927),"",OFFSET('Smelter Reference List'!$H$4,$S927-4,0))</f>
        <v/>
      </c>
      <c r="J927" s="294" t="str">
        <f ca="1">IF(ISERROR($S927),"",OFFSET('Smelter Reference List'!$I$4,$S927-4,0))</f>
        <v/>
      </c>
      <c r="K927" s="295"/>
      <c r="L927" s="295"/>
      <c r="M927" s="295"/>
      <c r="N927" s="295"/>
      <c r="O927" s="295"/>
      <c r="P927" s="295"/>
      <c r="Q927" s="296"/>
      <c r="R927" s="227"/>
      <c r="S927" s="228" t="e">
        <f>IF(C927="",NA(),MATCH($B927&amp;$C927,'Smelter Reference List'!$J:$J,0))</f>
        <v>#N/A</v>
      </c>
      <c r="T927" s="229"/>
      <c r="U927" s="229">
        <f t="shared" ca="1" si="30"/>
        <v>0</v>
      </c>
      <c r="V927" s="229"/>
      <c r="W927" s="229"/>
      <c r="Y927" s="223" t="str">
        <f t="shared" si="31"/>
        <v/>
      </c>
    </row>
    <row r="928" spans="1:25" s="223" customFormat="1" ht="20.25">
      <c r="A928" s="291"/>
      <c r="B928" s="292" t="str">
        <f>IF(LEN(A928)=0,"",INDEX('Smelter Reference List'!$A:$A,MATCH($A928,'Smelter Reference List'!$E:$E,0)))</f>
        <v/>
      </c>
      <c r="C928" s="298" t="str">
        <f>IF(LEN(A928)=0,"",INDEX('Smelter Reference List'!$C:$C,MATCH($A928,'Smelter Reference List'!$E:$E,0)))</f>
        <v/>
      </c>
      <c r="D928" s="292" t="str">
        <f ca="1">IF(ISERROR($S928),"",OFFSET('Smelter Reference List'!$C$4,$S928-4,0)&amp;"")</f>
        <v/>
      </c>
      <c r="E928" s="292" t="str">
        <f ca="1">IF(ISERROR($S928),"",OFFSET('Smelter Reference List'!$D$4,$S928-4,0)&amp;"")</f>
        <v/>
      </c>
      <c r="F928" s="292" t="str">
        <f ca="1">IF(ISERROR($S928),"",OFFSET('Smelter Reference List'!$E$4,$S928-4,0))</f>
        <v/>
      </c>
      <c r="G928" s="292" t="str">
        <f ca="1">IF(C928=$U$4,"Enter smelter details", IF(ISERROR($S928),"",OFFSET('Smelter Reference List'!$F$4,$S928-4,0)))</f>
        <v/>
      </c>
      <c r="H928" s="293" t="str">
        <f ca="1">IF(ISERROR($S928),"",OFFSET('Smelter Reference List'!$G$4,$S928-4,0))</f>
        <v/>
      </c>
      <c r="I928" s="294" t="str">
        <f ca="1">IF(ISERROR($S928),"",OFFSET('Smelter Reference List'!$H$4,$S928-4,0))</f>
        <v/>
      </c>
      <c r="J928" s="294" t="str">
        <f ca="1">IF(ISERROR($S928),"",OFFSET('Smelter Reference List'!$I$4,$S928-4,0))</f>
        <v/>
      </c>
      <c r="K928" s="295"/>
      <c r="L928" s="295"/>
      <c r="M928" s="295"/>
      <c r="N928" s="295"/>
      <c r="O928" s="295"/>
      <c r="P928" s="295"/>
      <c r="Q928" s="296"/>
      <c r="R928" s="227"/>
      <c r="S928" s="228" t="e">
        <f>IF(C928="",NA(),MATCH($B928&amp;$C928,'Smelter Reference List'!$J:$J,0))</f>
        <v>#N/A</v>
      </c>
      <c r="T928" s="229"/>
      <c r="U928" s="229">
        <f t="shared" ca="1" si="30"/>
        <v>0</v>
      </c>
      <c r="V928" s="229"/>
      <c r="W928" s="229"/>
      <c r="Y928" s="223" t="str">
        <f t="shared" si="31"/>
        <v/>
      </c>
    </row>
    <row r="929" spans="1:25" s="223" customFormat="1" ht="20.25">
      <c r="A929" s="291"/>
      <c r="B929" s="292" t="str">
        <f>IF(LEN(A929)=0,"",INDEX('Smelter Reference List'!$A:$A,MATCH($A929,'Smelter Reference List'!$E:$E,0)))</f>
        <v/>
      </c>
      <c r="C929" s="298" t="str">
        <f>IF(LEN(A929)=0,"",INDEX('Smelter Reference List'!$C:$C,MATCH($A929,'Smelter Reference List'!$E:$E,0)))</f>
        <v/>
      </c>
      <c r="D929" s="292" t="str">
        <f ca="1">IF(ISERROR($S929),"",OFFSET('Smelter Reference List'!$C$4,$S929-4,0)&amp;"")</f>
        <v/>
      </c>
      <c r="E929" s="292" t="str">
        <f ca="1">IF(ISERROR($S929),"",OFFSET('Smelter Reference List'!$D$4,$S929-4,0)&amp;"")</f>
        <v/>
      </c>
      <c r="F929" s="292" t="str">
        <f ca="1">IF(ISERROR($S929),"",OFFSET('Smelter Reference List'!$E$4,$S929-4,0))</f>
        <v/>
      </c>
      <c r="G929" s="292" t="str">
        <f ca="1">IF(C929=$U$4,"Enter smelter details", IF(ISERROR($S929),"",OFFSET('Smelter Reference List'!$F$4,$S929-4,0)))</f>
        <v/>
      </c>
      <c r="H929" s="293" t="str">
        <f ca="1">IF(ISERROR($S929),"",OFFSET('Smelter Reference List'!$G$4,$S929-4,0))</f>
        <v/>
      </c>
      <c r="I929" s="294" t="str">
        <f ca="1">IF(ISERROR($S929),"",OFFSET('Smelter Reference List'!$H$4,$S929-4,0))</f>
        <v/>
      </c>
      <c r="J929" s="294" t="str">
        <f ca="1">IF(ISERROR($S929),"",OFFSET('Smelter Reference List'!$I$4,$S929-4,0))</f>
        <v/>
      </c>
      <c r="K929" s="295"/>
      <c r="L929" s="295"/>
      <c r="M929" s="295"/>
      <c r="N929" s="295"/>
      <c r="O929" s="295"/>
      <c r="P929" s="295"/>
      <c r="Q929" s="296"/>
      <c r="R929" s="227"/>
      <c r="S929" s="228" t="e">
        <f>IF(C929="",NA(),MATCH($B929&amp;$C929,'Smelter Reference List'!$J:$J,0))</f>
        <v>#N/A</v>
      </c>
      <c r="T929" s="229"/>
      <c r="U929" s="229">
        <f t="shared" ca="1" si="30"/>
        <v>0</v>
      </c>
      <c r="V929" s="229"/>
      <c r="W929" s="229"/>
      <c r="Y929" s="223" t="str">
        <f t="shared" si="31"/>
        <v/>
      </c>
    </row>
    <row r="930" spans="1:25" s="223" customFormat="1" ht="20.25">
      <c r="A930" s="291"/>
      <c r="B930" s="292" t="str">
        <f>IF(LEN(A930)=0,"",INDEX('Smelter Reference List'!$A:$A,MATCH($A930,'Smelter Reference List'!$E:$E,0)))</f>
        <v/>
      </c>
      <c r="C930" s="298" t="str">
        <f>IF(LEN(A930)=0,"",INDEX('Smelter Reference List'!$C:$C,MATCH($A930,'Smelter Reference List'!$E:$E,0)))</f>
        <v/>
      </c>
      <c r="D930" s="292" t="str">
        <f ca="1">IF(ISERROR($S930),"",OFFSET('Smelter Reference List'!$C$4,$S930-4,0)&amp;"")</f>
        <v/>
      </c>
      <c r="E930" s="292" t="str">
        <f ca="1">IF(ISERROR($S930),"",OFFSET('Smelter Reference List'!$D$4,$S930-4,0)&amp;"")</f>
        <v/>
      </c>
      <c r="F930" s="292" t="str">
        <f ca="1">IF(ISERROR($S930),"",OFFSET('Smelter Reference List'!$E$4,$S930-4,0))</f>
        <v/>
      </c>
      <c r="G930" s="292" t="str">
        <f ca="1">IF(C930=$U$4,"Enter smelter details", IF(ISERROR($S930),"",OFFSET('Smelter Reference List'!$F$4,$S930-4,0)))</f>
        <v/>
      </c>
      <c r="H930" s="293" t="str">
        <f ca="1">IF(ISERROR($S930),"",OFFSET('Smelter Reference List'!$G$4,$S930-4,0))</f>
        <v/>
      </c>
      <c r="I930" s="294" t="str">
        <f ca="1">IF(ISERROR($S930),"",OFFSET('Smelter Reference List'!$H$4,$S930-4,0))</f>
        <v/>
      </c>
      <c r="J930" s="294" t="str">
        <f ca="1">IF(ISERROR($S930),"",OFFSET('Smelter Reference List'!$I$4,$S930-4,0))</f>
        <v/>
      </c>
      <c r="K930" s="295"/>
      <c r="L930" s="295"/>
      <c r="M930" s="295"/>
      <c r="N930" s="295"/>
      <c r="O930" s="295"/>
      <c r="P930" s="295"/>
      <c r="Q930" s="296"/>
      <c r="R930" s="227"/>
      <c r="S930" s="228" t="e">
        <f>IF(C930="",NA(),MATCH($B930&amp;$C930,'Smelter Reference List'!$J:$J,0))</f>
        <v>#N/A</v>
      </c>
      <c r="T930" s="229"/>
      <c r="U930" s="229">
        <f t="shared" ca="1" si="30"/>
        <v>0</v>
      </c>
      <c r="V930" s="229"/>
      <c r="W930" s="229"/>
      <c r="Y930" s="223" t="str">
        <f t="shared" si="31"/>
        <v/>
      </c>
    </row>
    <row r="931" spans="1:25" s="223" customFormat="1" ht="20.25">
      <c r="A931" s="291"/>
      <c r="B931" s="292" t="str">
        <f>IF(LEN(A931)=0,"",INDEX('Smelter Reference List'!$A:$A,MATCH($A931,'Smelter Reference List'!$E:$E,0)))</f>
        <v/>
      </c>
      <c r="C931" s="298" t="str">
        <f>IF(LEN(A931)=0,"",INDEX('Smelter Reference List'!$C:$C,MATCH($A931,'Smelter Reference List'!$E:$E,0)))</f>
        <v/>
      </c>
      <c r="D931" s="292" t="str">
        <f ca="1">IF(ISERROR($S931),"",OFFSET('Smelter Reference List'!$C$4,$S931-4,0)&amp;"")</f>
        <v/>
      </c>
      <c r="E931" s="292" t="str">
        <f ca="1">IF(ISERROR($S931),"",OFFSET('Smelter Reference List'!$D$4,$S931-4,0)&amp;"")</f>
        <v/>
      </c>
      <c r="F931" s="292" t="str">
        <f ca="1">IF(ISERROR($S931),"",OFFSET('Smelter Reference List'!$E$4,$S931-4,0))</f>
        <v/>
      </c>
      <c r="G931" s="292" t="str">
        <f ca="1">IF(C931=$U$4,"Enter smelter details", IF(ISERROR($S931),"",OFFSET('Smelter Reference List'!$F$4,$S931-4,0)))</f>
        <v/>
      </c>
      <c r="H931" s="293" t="str">
        <f ca="1">IF(ISERROR($S931),"",OFFSET('Smelter Reference List'!$G$4,$S931-4,0))</f>
        <v/>
      </c>
      <c r="I931" s="294" t="str">
        <f ca="1">IF(ISERROR($S931),"",OFFSET('Smelter Reference List'!$H$4,$S931-4,0))</f>
        <v/>
      </c>
      <c r="J931" s="294" t="str">
        <f ca="1">IF(ISERROR($S931),"",OFFSET('Smelter Reference List'!$I$4,$S931-4,0))</f>
        <v/>
      </c>
      <c r="K931" s="295"/>
      <c r="L931" s="295"/>
      <c r="M931" s="295"/>
      <c r="N931" s="295"/>
      <c r="O931" s="295"/>
      <c r="P931" s="295"/>
      <c r="Q931" s="296"/>
      <c r="R931" s="227"/>
      <c r="S931" s="228" t="e">
        <f>IF(C931="",NA(),MATCH($B931&amp;$C931,'Smelter Reference List'!$J:$J,0))</f>
        <v>#N/A</v>
      </c>
      <c r="T931" s="229"/>
      <c r="U931" s="229">
        <f t="shared" ca="1" si="30"/>
        <v>0</v>
      </c>
      <c r="V931" s="229"/>
      <c r="W931" s="229"/>
      <c r="Y931" s="223" t="str">
        <f t="shared" si="31"/>
        <v/>
      </c>
    </row>
    <row r="932" spans="1:25" s="223" customFormat="1" ht="20.25">
      <c r="A932" s="291"/>
      <c r="B932" s="292" t="str">
        <f>IF(LEN(A932)=0,"",INDEX('Smelter Reference List'!$A:$A,MATCH($A932,'Smelter Reference List'!$E:$E,0)))</f>
        <v/>
      </c>
      <c r="C932" s="298" t="str">
        <f>IF(LEN(A932)=0,"",INDEX('Smelter Reference List'!$C:$C,MATCH($A932,'Smelter Reference List'!$E:$E,0)))</f>
        <v/>
      </c>
      <c r="D932" s="292" t="str">
        <f ca="1">IF(ISERROR($S932),"",OFFSET('Smelter Reference List'!$C$4,$S932-4,0)&amp;"")</f>
        <v/>
      </c>
      <c r="E932" s="292" t="str">
        <f ca="1">IF(ISERROR($S932),"",OFFSET('Smelter Reference List'!$D$4,$S932-4,0)&amp;"")</f>
        <v/>
      </c>
      <c r="F932" s="292" t="str">
        <f ca="1">IF(ISERROR($S932),"",OFFSET('Smelter Reference List'!$E$4,$S932-4,0))</f>
        <v/>
      </c>
      <c r="G932" s="292" t="str">
        <f ca="1">IF(C932=$U$4,"Enter smelter details", IF(ISERROR($S932),"",OFFSET('Smelter Reference List'!$F$4,$S932-4,0)))</f>
        <v/>
      </c>
      <c r="H932" s="293" t="str">
        <f ca="1">IF(ISERROR($S932),"",OFFSET('Smelter Reference List'!$G$4,$S932-4,0))</f>
        <v/>
      </c>
      <c r="I932" s="294" t="str">
        <f ca="1">IF(ISERROR($S932),"",OFFSET('Smelter Reference List'!$H$4,$S932-4,0))</f>
        <v/>
      </c>
      <c r="J932" s="294" t="str">
        <f ca="1">IF(ISERROR($S932),"",OFFSET('Smelter Reference List'!$I$4,$S932-4,0))</f>
        <v/>
      </c>
      <c r="K932" s="295"/>
      <c r="L932" s="295"/>
      <c r="M932" s="295"/>
      <c r="N932" s="295"/>
      <c r="O932" s="295"/>
      <c r="P932" s="295"/>
      <c r="Q932" s="296"/>
      <c r="R932" s="227"/>
      <c r="S932" s="228" t="e">
        <f>IF(C932="",NA(),MATCH($B932&amp;$C932,'Smelter Reference List'!$J:$J,0))</f>
        <v>#N/A</v>
      </c>
      <c r="T932" s="229"/>
      <c r="U932" s="229">
        <f t="shared" ca="1" si="30"/>
        <v>0</v>
      </c>
      <c r="V932" s="229"/>
      <c r="W932" s="229"/>
      <c r="Y932" s="223" t="str">
        <f t="shared" si="31"/>
        <v/>
      </c>
    </row>
    <row r="933" spans="1:25" s="223" customFormat="1" ht="20.25">
      <c r="A933" s="291"/>
      <c r="B933" s="292" t="str">
        <f>IF(LEN(A933)=0,"",INDEX('Smelter Reference List'!$A:$A,MATCH($A933,'Smelter Reference List'!$E:$E,0)))</f>
        <v/>
      </c>
      <c r="C933" s="298" t="str">
        <f>IF(LEN(A933)=0,"",INDEX('Smelter Reference List'!$C:$C,MATCH($A933,'Smelter Reference List'!$E:$E,0)))</f>
        <v/>
      </c>
      <c r="D933" s="292" t="str">
        <f ca="1">IF(ISERROR($S933),"",OFFSET('Smelter Reference List'!$C$4,$S933-4,0)&amp;"")</f>
        <v/>
      </c>
      <c r="E933" s="292" t="str">
        <f ca="1">IF(ISERROR($S933),"",OFFSET('Smelter Reference List'!$D$4,$S933-4,0)&amp;"")</f>
        <v/>
      </c>
      <c r="F933" s="292" t="str">
        <f ca="1">IF(ISERROR($S933),"",OFFSET('Smelter Reference List'!$E$4,$S933-4,0))</f>
        <v/>
      </c>
      <c r="G933" s="292" t="str">
        <f ca="1">IF(C933=$U$4,"Enter smelter details", IF(ISERROR($S933),"",OFFSET('Smelter Reference List'!$F$4,$S933-4,0)))</f>
        <v/>
      </c>
      <c r="H933" s="293" t="str">
        <f ca="1">IF(ISERROR($S933),"",OFFSET('Smelter Reference List'!$G$4,$S933-4,0))</f>
        <v/>
      </c>
      <c r="I933" s="294" t="str">
        <f ca="1">IF(ISERROR($S933),"",OFFSET('Smelter Reference List'!$H$4,$S933-4,0))</f>
        <v/>
      </c>
      <c r="J933" s="294" t="str">
        <f ca="1">IF(ISERROR($S933),"",OFFSET('Smelter Reference List'!$I$4,$S933-4,0))</f>
        <v/>
      </c>
      <c r="K933" s="295"/>
      <c r="L933" s="295"/>
      <c r="M933" s="295"/>
      <c r="N933" s="295"/>
      <c r="O933" s="295"/>
      <c r="P933" s="295"/>
      <c r="Q933" s="296"/>
      <c r="R933" s="227"/>
      <c r="S933" s="228" t="e">
        <f>IF(C933="",NA(),MATCH($B933&amp;$C933,'Smelter Reference List'!$J:$J,0))</f>
        <v>#N/A</v>
      </c>
      <c r="T933" s="229"/>
      <c r="U933" s="229">
        <f t="shared" ca="1" si="30"/>
        <v>0</v>
      </c>
      <c r="V933" s="229"/>
      <c r="W933" s="229"/>
      <c r="Y933" s="223" t="str">
        <f t="shared" si="31"/>
        <v/>
      </c>
    </row>
    <row r="934" spans="1:25" s="223" customFormat="1" ht="20.25">
      <c r="A934" s="291"/>
      <c r="B934" s="292" t="str">
        <f>IF(LEN(A934)=0,"",INDEX('Smelter Reference List'!$A:$A,MATCH($A934,'Smelter Reference List'!$E:$E,0)))</f>
        <v/>
      </c>
      <c r="C934" s="298" t="str">
        <f>IF(LEN(A934)=0,"",INDEX('Smelter Reference List'!$C:$C,MATCH($A934,'Smelter Reference List'!$E:$E,0)))</f>
        <v/>
      </c>
      <c r="D934" s="292" t="str">
        <f ca="1">IF(ISERROR($S934),"",OFFSET('Smelter Reference List'!$C$4,$S934-4,0)&amp;"")</f>
        <v/>
      </c>
      <c r="E934" s="292" t="str">
        <f ca="1">IF(ISERROR($S934),"",OFFSET('Smelter Reference List'!$D$4,$S934-4,0)&amp;"")</f>
        <v/>
      </c>
      <c r="F934" s="292" t="str">
        <f ca="1">IF(ISERROR($S934),"",OFFSET('Smelter Reference List'!$E$4,$S934-4,0))</f>
        <v/>
      </c>
      <c r="G934" s="292" t="str">
        <f ca="1">IF(C934=$U$4,"Enter smelter details", IF(ISERROR($S934),"",OFFSET('Smelter Reference List'!$F$4,$S934-4,0)))</f>
        <v/>
      </c>
      <c r="H934" s="293" t="str">
        <f ca="1">IF(ISERROR($S934),"",OFFSET('Smelter Reference List'!$G$4,$S934-4,0))</f>
        <v/>
      </c>
      <c r="I934" s="294" t="str">
        <f ca="1">IF(ISERROR($S934),"",OFFSET('Smelter Reference List'!$H$4,$S934-4,0))</f>
        <v/>
      </c>
      <c r="J934" s="294" t="str">
        <f ca="1">IF(ISERROR($S934),"",OFFSET('Smelter Reference List'!$I$4,$S934-4,0))</f>
        <v/>
      </c>
      <c r="K934" s="295"/>
      <c r="L934" s="295"/>
      <c r="M934" s="295"/>
      <c r="N934" s="295"/>
      <c r="O934" s="295"/>
      <c r="P934" s="295"/>
      <c r="Q934" s="296"/>
      <c r="R934" s="227"/>
      <c r="S934" s="228" t="e">
        <f>IF(C934="",NA(),MATCH($B934&amp;$C934,'Smelter Reference List'!$J:$J,0))</f>
        <v>#N/A</v>
      </c>
      <c r="T934" s="229"/>
      <c r="U934" s="229">
        <f t="shared" ca="1" si="30"/>
        <v>0</v>
      </c>
      <c r="V934" s="229"/>
      <c r="W934" s="229"/>
      <c r="Y934" s="223" t="str">
        <f t="shared" si="31"/>
        <v/>
      </c>
    </row>
    <row r="935" spans="1:25" s="223" customFormat="1" ht="20.25">
      <c r="A935" s="291"/>
      <c r="B935" s="292" t="str">
        <f>IF(LEN(A935)=0,"",INDEX('Smelter Reference List'!$A:$A,MATCH($A935,'Smelter Reference List'!$E:$E,0)))</f>
        <v/>
      </c>
      <c r="C935" s="298" t="str">
        <f>IF(LEN(A935)=0,"",INDEX('Smelter Reference List'!$C:$C,MATCH($A935,'Smelter Reference List'!$E:$E,0)))</f>
        <v/>
      </c>
      <c r="D935" s="292" t="str">
        <f ca="1">IF(ISERROR($S935),"",OFFSET('Smelter Reference List'!$C$4,$S935-4,0)&amp;"")</f>
        <v/>
      </c>
      <c r="E935" s="292" t="str">
        <f ca="1">IF(ISERROR($S935),"",OFFSET('Smelter Reference List'!$D$4,$S935-4,0)&amp;"")</f>
        <v/>
      </c>
      <c r="F935" s="292" t="str">
        <f ca="1">IF(ISERROR($S935),"",OFFSET('Smelter Reference List'!$E$4,$S935-4,0))</f>
        <v/>
      </c>
      <c r="G935" s="292" t="str">
        <f ca="1">IF(C935=$U$4,"Enter smelter details", IF(ISERROR($S935),"",OFFSET('Smelter Reference List'!$F$4,$S935-4,0)))</f>
        <v/>
      </c>
      <c r="H935" s="293" t="str">
        <f ca="1">IF(ISERROR($S935),"",OFFSET('Smelter Reference List'!$G$4,$S935-4,0))</f>
        <v/>
      </c>
      <c r="I935" s="294" t="str">
        <f ca="1">IF(ISERROR($S935),"",OFFSET('Smelter Reference List'!$H$4,$S935-4,0))</f>
        <v/>
      </c>
      <c r="J935" s="294" t="str">
        <f ca="1">IF(ISERROR($S935),"",OFFSET('Smelter Reference List'!$I$4,$S935-4,0))</f>
        <v/>
      </c>
      <c r="K935" s="295"/>
      <c r="L935" s="295"/>
      <c r="M935" s="295"/>
      <c r="N935" s="295"/>
      <c r="O935" s="295"/>
      <c r="P935" s="295"/>
      <c r="Q935" s="296"/>
      <c r="R935" s="227"/>
      <c r="S935" s="228" t="e">
        <f>IF(C935="",NA(),MATCH($B935&amp;$C935,'Smelter Reference List'!$J:$J,0))</f>
        <v>#N/A</v>
      </c>
      <c r="T935" s="229"/>
      <c r="U935" s="229">
        <f t="shared" ca="1" si="30"/>
        <v>0</v>
      </c>
      <c r="V935" s="229"/>
      <c r="W935" s="229"/>
      <c r="Y935" s="223" t="str">
        <f t="shared" si="31"/>
        <v/>
      </c>
    </row>
    <row r="936" spans="1:25" s="223" customFormat="1" ht="20.25">
      <c r="A936" s="291"/>
      <c r="B936" s="292" t="str">
        <f>IF(LEN(A936)=0,"",INDEX('Smelter Reference List'!$A:$A,MATCH($A936,'Smelter Reference List'!$E:$E,0)))</f>
        <v/>
      </c>
      <c r="C936" s="298" t="str">
        <f>IF(LEN(A936)=0,"",INDEX('Smelter Reference List'!$C:$C,MATCH($A936,'Smelter Reference List'!$E:$E,0)))</f>
        <v/>
      </c>
      <c r="D936" s="292" t="str">
        <f ca="1">IF(ISERROR($S936),"",OFFSET('Smelter Reference List'!$C$4,$S936-4,0)&amp;"")</f>
        <v/>
      </c>
      <c r="E936" s="292" t="str">
        <f ca="1">IF(ISERROR($S936),"",OFFSET('Smelter Reference List'!$D$4,$S936-4,0)&amp;"")</f>
        <v/>
      </c>
      <c r="F936" s="292" t="str">
        <f ca="1">IF(ISERROR($S936),"",OFFSET('Smelter Reference List'!$E$4,$S936-4,0))</f>
        <v/>
      </c>
      <c r="G936" s="292" t="str">
        <f ca="1">IF(C936=$U$4,"Enter smelter details", IF(ISERROR($S936),"",OFFSET('Smelter Reference List'!$F$4,$S936-4,0)))</f>
        <v/>
      </c>
      <c r="H936" s="293" t="str">
        <f ca="1">IF(ISERROR($S936),"",OFFSET('Smelter Reference List'!$G$4,$S936-4,0))</f>
        <v/>
      </c>
      <c r="I936" s="294" t="str">
        <f ca="1">IF(ISERROR($S936),"",OFFSET('Smelter Reference List'!$H$4,$S936-4,0))</f>
        <v/>
      </c>
      <c r="J936" s="294" t="str">
        <f ca="1">IF(ISERROR($S936),"",OFFSET('Smelter Reference List'!$I$4,$S936-4,0))</f>
        <v/>
      </c>
      <c r="K936" s="295"/>
      <c r="L936" s="295"/>
      <c r="M936" s="295"/>
      <c r="N936" s="295"/>
      <c r="O936" s="295"/>
      <c r="P936" s="295"/>
      <c r="Q936" s="296"/>
      <c r="R936" s="227"/>
      <c r="S936" s="228" t="e">
        <f>IF(C936="",NA(),MATCH($B936&amp;$C936,'Smelter Reference List'!$J:$J,0))</f>
        <v>#N/A</v>
      </c>
      <c r="T936" s="229"/>
      <c r="U936" s="229">
        <f t="shared" ca="1" si="30"/>
        <v>0</v>
      </c>
      <c r="V936" s="229"/>
      <c r="W936" s="229"/>
      <c r="Y936" s="223" t="str">
        <f t="shared" si="31"/>
        <v/>
      </c>
    </row>
    <row r="937" spans="1:25" s="223" customFormat="1" ht="20.25">
      <c r="A937" s="291"/>
      <c r="B937" s="292" t="str">
        <f>IF(LEN(A937)=0,"",INDEX('Smelter Reference List'!$A:$A,MATCH($A937,'Smelter Reference List'!$E:$E,0)))</f>
        <v/>
      </c>
      <c r="C937" s="298" t="str">
        <f>IF(LEN(A937)=0,"",INDEX('Smelter Reference List'!$C:$C,MATCH($A937,'Smelter Reference List'!$E:$E,0)))</f>
        <v/>
      </c>
      <c r="D937" s="292" t="str">
        <f ca="1">IF(ISERROR($S937),"",OFFSET('Smelter Reference List'!$C$4,$S937-4,0)&amp;"")</f>
        <v/>
      </c>
      <c r="E937" s="292" t="str">
        <f ca="1">IF(ISERROR($S937),"",OFFSET('Smelter Reference List'!$D$4,$S937-4,0)&amp;"")</f>
        <v/>
      </c>
      <c r="F937" s="292" t="str">
        <f ca="1">IF(ISERROR($S937),"",OFFSET('Smelter Reference List'!$E$4,$S937-4,0))</f>
        <v/>
      </c>
      <c r="G937" s="292" t="str">
        <f ca="1">IF(C937=$U$4,"Enter smelter details", IF(ISERROR($S937),"",OFFSET('Smelter Reference List'!$F$4,$S937-4,0)))</f>
        <v/>
      </c>
      <c r="H937" s="293" t="str">
        <f ca="1">IF(ISERROR($S937),"",OFFSET('Smelter Reference List'!$G$4,$S937-4,0))</f>
        <v/>
      </c>
      <c r="I937" s="294" t="str">
        <f ca="1">IF(ISERROR($S937),"",OFFSET('Smelter Reference List'!$H$4,$S937-4,0))</f>
        <v/>
      </c>
      <c r="J937" s="294" t="str">
        <f ca="1">IF(ISERROR($S937),"",OFFSET('Smelter Reference List'!$I$4,$S937-4,0))</f>
        <v/>
      </c>
      <c r="K937" s="295"/>
      <c r="L937" s="295"/>
      <c r="M937" s="295"/>
      <c r="N937" s="295"/>
      <c r="O937" s="295"/>
      <c r="P937" s="295"/>
      <c r="Q937" s="296"/>
      <c r="R937" s="227"/>
      <c r="S937" s="228" t="e">
        <f>IF(C937="",NA(),MATCH($B937&amp;$C937,'Smelter Reference List'!$J:$J,0))</f>
        <v>#N/A</v>
      </c>
      <c r="T937" s="229"/>
      <c r="U937" s="229">
        <f t="shared" ca="1" si="30"/>
        <v>0</v>
      </c>
      <c r="V937" s="229"/>
      <c r="W937" s="229"/>
      <c r="Y937" s="223" t="str">
        <f t="shared" si="31"/>
        <v/>
      </c>
    </row>
    <row r="938" spans="1:25" s="223" customFormat="1" ht="20.25">
      <c r="A938" s="291"/>
      <c r="B938" s="292" t="str">
        <f>IF(LEN(A938)=0,"",INDEX('Smelter Reference List'!$A:$A,MATCH($A938,'Smelter Reference List'!$E:$E,0)))</f>
        <v/>
      </c>
      <c r="C938" s="298" t="str">
        <f>IF(LEN(A938)=0,"",INDEX('Smelter Reference List'!$C:$C,MATCH($A938,'Smelter Reference List'!$E:$E,0)))</f>
        <v/>
      </c>
      <c r="D938" s="292" t="str">
        <f ca="1">IF(ISERROR($S938),"",OFFSET('Smelter Reference List'!$C$4,$S938-4,0)&amp;"")</f>
        <v/>
      </c>
      <c r="E938" s="292" t="str">
        <f ca="1">IF(ISERROR($S938),"",OFFSET('Smelter Reference List'!$D$4,$S938-4,0)&amp;"")</f>
        <v/>
      </c>
      <c r="F938" s="292" t="str">
        <f ca="1">IF(ISERROR($S938),"",OFFSET('Smelter Reference List'!$E$4,$S938-4,0))</f>
        <v/>
      </c>
      <c r="G938" s="292" t="str">
        <f ca="1">IF(C938=$U$4,"Enter smelter details", IF(ISERROR($S938),"",OFFSET('Smelter Reference List'!$F$4,$S938-4,0)))</f>
        <v/>
      </c>
      <c r="H938" s="293" t="str">
        <f ca="1">IF(ISERROR($S938),"",OFFSET('Smelter Reference List'!$G$4,$S938-4,0))</f>
        <v/>
      </c>
      <c r="I938" s="294" t="str">
        <f ca="1">IF(ISERROR($S938),"",OFFSET('Smelter Reference List'!$H$4,$S938-4,0))</f>
        <v/>
      </c>
      <c r="J938" s="294" t="str">
        <f ca="1">IF(ISERROR($S938),"",OFFSET('Smelter Reference List'!$I$4,$S938-4,0))</f>
        <v/>
      </c>
      <c r="K938" s="295"/>
      <c r="L938" s="295"/>
      <c r="M938" s="295"/>
      <c r="N938" s="295"/>
      <c r="O938" s="295"/>
      <c r="P938" s="295"/>
      <c r="Q938" s="296"/>
      <c r="R938" s="227"/>
      <c r="S938" s="228" t="e">
        <f>IF(C938="",NA(),MATCH($B938&amp;$C938,'Smelter Reference List'!$J:$J,0))</f>
        <v>#N/A</v>
      </c>
      <c r="T938" s="229"/>
      <c r="U938" s="229">
        <f t="shared" ca="1" si="30"/>
        <v>0</v>
      </c>
      <c r="V938" s="229"/>
      <c r="W938" s="229"/>
      <c r="Y938" s="223" t="str">
        <f t="shared" si="31"/>
        <v/>
      </c>
    </row>
    <row r="939" spans="1:25" s="223" customFormat="1" ht="20.25">
      <c r="A939" s="291"/>
      <c r="B939" s="292" t="str">
        <f>IF(LEN(A939)=0,"",INDEX('Smelter Reference List'!$A:$A,MATCH($A939,'Smelter Reference List'!$E:$E,0)))</f>
        <v/>
      </c>
      <c r="C939" s="298" t="str">
        <f>IF(LEN(A939)=0,"",INDEX('Smelter Reference List'!$C:$C,MATCH($A939,'Smelter Reference List'!$E:$E,0)))</f>
        <v/>
      </c>
      <c r="D939" s="292" t="str">
        <f ca="1">IF(ISERROR($S939),"",OFFSET('Smelter Reference List'!$C$4,$S939-4,0)&amp;"")</f>
        <v/>
      </c>
      <c r="E939" s="292" t="str">
        <f ca="1">IF(ISERROR($S939),"",OFFSET('Smelter Reference List'!$D$4,$S939-4,0)&amp;"")</f>
        <v/>
      </c>
      <c r="F939" s="292" t="str">
        <f ca="1">IF(ISERROR($S939),"",OFFSET('Smelter Reference List'!$E$4,$S939-4,0))</f>
        <v/>
      </c>
      <c r="G939" s="292" t="str">
        <f ca="1">IF(C939=$U$4,"Enter smelter details", IF(ISERROR($S939),"",OFFSET('Smelter Reference List'!$F$4,$S939-4,0)))</f>
        <v/>
      </c>
      <c r="H939" s="293" t="str">
        <f ca="1">IF(ISERROR($S939),"",OFFSET('Smelter Reference List'!$G$4,$S939-4,0))</f>
        <v/>
      </c>
      <c r="I939" s="294" t="str">
        <f ca="1">IF(ISERROR($S939),"",OFFSET('Smelter Reference List'!$H$4,$S939-4,0))</f>
        <v/>
      </c>
      <c r="J939" s="294" t="str">
        <f ca="1">IF(ISERROR($S939),"",OFFSET('Smelter Reference List'!$I$4,$S939-4,0))</f>
        <v/>
      </c>
      <c r="K939" s="295"/>
      <c r="L939" s="295"/>
      <c r="M939" s="295"/>
      <c r="N939" s="295"/>
      <c r="O939" s="295"/>
      <c r="P939" s="295"/>
      <c r="Q939" s="296"/>
      <c r="R939" s="227"/>
      <c r="S939" s="228" t="e">
        <f>IF(C939="",NA(),MATCH($B939&amp;$C939,'Smelter Reference List'!$J:$J,0))</f>
        <v>#N/A</v>
      </c>
      <c r="T939" s="229"/>
      <c r="U939" s="229">
        <f t="shared" ca="1" si="30"/>
        <v>0</v>
      </c>
      <c r="V939" s="229"/>
      <c r="W939" s="229"/>
      <c r="Y939" s="223" t="str">
        <f t="shared" si="31"/>
        <v/>
      </c>
    </row>
    <row r="940" spans="1:25" s="223" customFormat="1" ht="20.25">
      <c r="A940" s="291"/>
      <c r="B940" s="292" t="str">
        <f>IF(LEN(A940)=0,"",INDEX('Smelter Reference List'!$A:$A,MATCH($A940,'Smelter Reference List'!$E:$E,0)))</f>
        <v/>
      </c>
      <c r="C940" s="298" t="str">
        <f>IF(LEN(A940)=0,"",INDEX('Smelter Reference List'!$C:$C,MATCH($A940,'Smelter Reference List'!$E:$E,0)))</f>
        <v/>
      </c>
      <c r="D940" s="292" t="str">
        <f ca="1">IF(ISERROR($S940),"",OFFSET('Smelter Reference List'!$C$4,$S940-4,0)&amp;"")</f>
        <v/>
      </c>
      <c r="E940" s="292" t="str">
        <f ca="1">IF(ISERROR($S940),"",OFFSET('Smelter Reference List'!$D$4,$S940-4,0)&amp;"")</f>
        <v/>
      </c>
      <c r="F940" s="292" t="str">
        <f ca="1">IF(ISERROR($S940),"",OFFSET('Smelter Reference List'!$E$4,$S940-4,0))</f>
        <v/>
      </c>
      <c r="G940" s="292" t="str">
        <f ca="1">IF(C940=$U$4,"Enter smelter details", IF(ISERROR($S940),"",OFFSET('Smelter Reference List'!$F$4,$S940-4,0)))</f>
        <v/>
      </c>
      <c r="H940" s="293" t="str">
        <f ca="1">IF(ISERROR($S940),"",OFFSET('Smelter Reference List'!$G$4,$S940-4,0))</f>
        <v/>
      </c>
      <c r="I940" s="294" t="str">
        <f ca="1">IF(ISERROR($S940),"",OFFSET('Smelter Reference List'!$H$4,$S940-4,0))</f>
        <v/>
      </c>
      <c r="J940" s="294" t="str">
        <f ca="1">IF(ISERROR($S940),"",OFFSET('Smelter Reference List'!$I$4,$S940-4,0))</f>
        <v/>
      </c>
      <c r="K940" s="295"/>
      <c r="L940" s="295"/>
      <c r="M940" s="295"/>
      <c r="N940" s="295"/>
      <c r="O940" s="295"/>
      <c r="P940" s="295"/>
      <c r="Q940" s="296"/>
      <c r="R940" s="227"/>
      <c r="S940" s="228" t="e">
        <f>IF(C940="",NA(),MATCH($B940&amp;$C940,'Smelter Reference List'!$J:$J,0))</f>
        <v>#N/A</v>
      </c>
      <c r="T940" s="229"/>
      <c r="U940" s="229">
        <f t="shared" ca="1" si="30"/>
        <v>0</v>
      </c>
      <c r="V940" s="229"/>
      <c r="W940" s="229"/>
      <c r="Y940" s="223" t="str">
        <f t="shared" si="31"/>
        <v/>
      </c>
    </row>
    <row r="941" spans="1:25" s="223" customFormat="1" ht="20.25">
      <c r="A941" s="291"/>
      <c r="B941" s="292" t="str">
        <f>IF(LEN(A941)=0,"",INDEX('Smelter Reference List'!$A:$A,MATCH($A941,'Smelter Reference List'!$E:$E,0)))</f>
        <v/>
      </c>
      <c r="C941" s="298" t="str">
        <f>IF(LEN(A941)=0,"",INDEX('Smelter Reference List'!$C:$C,MATCH($A941,'Smelter Reference List'!$E:$E,0)))</f>
        <v/>
      </c>
      <c r="D941" s="292" t="str">
        <f ca="1">IF(ISERROR($S941),"",OFFSET('Smelter Reference List'!$C$4,$S941-4,0)&amp;"")</f>
        <v/>
      </c>
      <c r="E941" s="292" t="str">
        <f ca="1">IF(ISERROR($S941),"",OFFSET('Smelter Reference List'!$D$4,$S941-4,0)&amp;"")</f>
        <v/>
      </c>
      <c r="F941" s="292" t="str">
        <f ca="1">IF(ISERROR($S941),"",OFFSET('Smelter Reference List'!$E$4,$S941-4,0))</f>
        <v/>
      </c>
      <c r="G941" s="292" t="str">
        <f ca="1">IF(C941=$U$4,"Enter smelter details", IF(ISERROR($S941),"",OFFSET('Smelter Reference List'!$F$4,$S941-4,0)))</f>
        <v/>
      </c>
      <c r="H941" s="293" t="str">
        <f ca="1">IF(ISERROR($S941),"",OFFSET('Smelter Reference List'!$G$4,$S941-4,0))</f>
        <v/>
      </c>
      <c r="I941" s="294" t="str">
        <f ca="1">IF(ISERROR($S941),"",OFFSET('Smelter Reference List'!$H$4,$S941-4,0))</f>
        <v/>
      </c>
      <c r="J941" s="294" t="str">
        <f ca="1">IF(ISERROR($S941),"",OFFSET('Smelter Reference List'!$I$4,$S941-4,0))</f>
        <v/>
      </c>
      <c r="K941" s="295"/>
      <c r="L941" s="295"/>
      <c r="M941" s="295"/>
      <c r="N941" s="295"/>
      <c r="O941" s="295"/>
      <c r="P941" s="295"/>
      <c r="Q941" s="296"/>
      <c r="R941" s="227"/>
      <c r="S941" s="228" t="e">
        <f>IF(C941="",NA(),MATCH($B941&amp;$C941,'Smelter Reference List'!$J:$J,0))</f>
        <v>#N/A</v>
      </c>
      <c r="T941" s="229"/>
      <c r="U941" s="229">
        <f t="shared" ca="1" si="30"/>
        <v>0</v>
      </c>
      <c r="V941" s="229"/>
      <c r="W941" s="229"/>
      <c r="Y941" s="223" t="str">
        <f t="shared" si="31"/>
        <v/>
      </c>
    </row>
    <row r="942" spans="1:25" s="223" customFormat="1" ht="20.25">
      <c r="A942" s="291"/>
      <c r="B942" s="292" t="str">
        <f>IF(LEN(A942)=0,"",INDEX('Smelter Reference List'!$A:$A,MATCH($A942,'Smelter Reference List'!$E:$E,0)))</f>
        <v/>
      </c>
      <c r="C942" s="298" t="str">
        <f>IF(LEN(A942)=0,"",INDEX('Smelter Reference List'!$C:$C,MATCH($A942,'Smelter Reference List'!$E:$E,0)))</f>
        <v/>
      </c>
      <c r="D942" s="292" t="str">
        <f ca="1">IF(ISERROR($S942),"",OFFSET('Smelter Reference List'!$C$4,$S942-4,0)&amp;"")</f>
        <v/>
      </c>
      <c r="E942" s="292" t="str">
        <f ca="1">IF(ISERROR($S942),"",OFFSET('Smelter Reference List'!$D$4,$S942-4,0)&amp;"")</f>
        <v/>
      </c>
      <c r="F942" s="292" t="str">
        <f ca="1">IF(ISERROR($S942),"",OFFSET('Smelter Reference List'!$E$4,$S942-4,0))</f>
        <v/>
      </c>
      <c r="G942" s="292" t="str">
        <f ca="1">IF(C942=$U$4,"Enter smelter details", IF(ISERROR($S942),"",OFFSET('Smelter Reference List'!$F$4,$S942-4,0)))</f>
        <v/>
      </c>
      <c r="H942" s="293" t="str">
        <f ca="1">IF(ISERROR($S942),"",OFFSET('Smelter Reference List'!$G$4,$S942-4,0))</f>
        <v/>
      </c>
      <c r="I942" s="294" t="str">
        <f ca="1">IF(ISERROR($S942),"",OFFSET('Smelter Reference List'!$H$4,$S942-4,0))</f>
        <v/>
      </c>
      <c r="J942" s="294" t="str">
        <f ca="1">IF(ISERROR($S942),"",OFFSET('Smelter Reference List'!$I$4,$S942-4,0))</f>
        <v/>
      </c>
      <c r="K942" s="295"/>
      <c r="L942" s="295"/>
      <c r="M942" s="295"/>
      <c r="N942" s="295"/>
      <c r="O942" s="295"/>
      <c r="P942" s="295"/>
      <c r="Q942" s="296"/>
      <c r="R942" s="227"/>
      <c r="S942" s="228" t="e">
        <f>IF(C942="",NA(),MATCH($B942&amp;$C942,'Smelter Reference List'!$J:$J,0))</f>
        <v>#N/A</v>
      </c>
      <c r="T942" s="229"/>
      <c r="U942" s="229">
        <f t="shared" ca="1" si="30"/>
        <v>0</v>
      </c>
      <c r="V942" s="229"/>
      <c r="W942" s="229"/>
      <c r="Y942" s="223" t="str">
        <f t="shared" si="31"/>
        <v/>
      </c>
    </row>
    <row r="943" spans="1:25" s="223" customFormat="1" ht="20.25">
      <c r="A943" s="291"/>
      <c r="B943" s="292" t="str">
        <f>IF(LEN(A943)=0,"",INDEX('Smelter Reference List'!$A:$A,MATCH($A943,'Smelter Reference List'!$E:$E,0)))</f>
        <v/>
      </c>
      <c r="C943" s="298" t="str">
        <f>IF(LEN(A943)=0,"",INDEX('Smelter Reference List'!$C:$C,MATCH($A943,'Smelter Reference List'!$E:$E,0)))</f>
        <v/>
      </c>
      <c r="D943" s="292" t="str">
        <f ca="1">IF(ISERROR($S943),"",OFFSET('Smelter Reference List'!$C$4,$S943-4,0)&amp;"")</f>
        <v/>
      </c>
      <c r="E943" s="292" t="str">
        <f ca="1">IF(ISERROR($S943),"",OFFSET('Smelter Reference List'!$D$4,$S943-4,0)&amp;"")</f>
        <v/>
      </c>
      <c r="F943" s="292" t="str">
        <f ca="1">IF(ISERROR($S943),"",OFFSET('Smelter Reference List'!$E$4,$S943-4,0))</f>
        <v/>
      </c>
      <c r="G943" s="292" t="str">
        <f ca="1">IF(C943=$U$4,"Enter smelter details", IF(ISERROR($S943),"",OFFSET('Smelter Reference List'!$F$4,$S943-4,0)))</f>
        <v/>
      </c>
      <c r="H943" s="293" t="str">
        <f ca="1">IF(ISERROR($S943),"",OFFSET('Smelter Reference List'!$G$4,$S943-4,0))</f>
        <v/>
      </c>
      <c r="I943" s="294" t="str">
        <f ca="1">IF(ISERROR($S943),"",OFFSET('Smelter Reference List'!$H$4,$S943-4,0))</f>
        <v/>
      </c>
      <c r="J943" s="294" t="str">
        <f ca="1">IF(ISERROR($S943),"",OFFSET('Smelter Reference List'!$I$4,$S943-4,0))</f>
        <v/>
      </c>
      <c r="K943" s="295"/>
      <c r="L943" s="295"/>
      <c r="M943" s="295"/>
      <c r="N943" s="295"/>
      <c r="O943" s="295"/>
      <c r="P943" s="295"/>
      <c r="Q943" s="296"/>
      <c r="R943" s="227"/>
      <c r="S943" s="228" t="e">
        <f>IF(C943="",NA(),MATCH($B943&amp;$C943,'Smelter Reference List'!$J:$J,0))</f>
        <v>#N/A</v>
      </c>
      <c r="T943" s="229"/>
      <c r="U943" s="229">
        <f t="shared" ca="1" si="30"/>
        <v>0</v>
      </c>
      <c r="V943" s="229"/>
      <c r="W943" s="229"/>
      <c r="Y943" s="223" t="str">
        <f t="shared" si="31"/>
        <v/>
      </c>
    </row>
    <row r="944" spans="1:25" s="223" customFormat="1" ht="20.25">
      <c r="A944" s="291"/>
      <c r="B944" s="292" t="str">
        <f>IF(LEN(A944)=0,"",INDEX('Smelter Reference List'!$A:$A,MATCH($A944,'Smelter Reference List'!$E:$E,0)))</f>
        <v/>
      </c>
      <c r="C944" s="298" t="str">
        <f>IF(LEN(A944)=0,"",INDEX('Smelter Reference List'!$C:$C,MATCH($A944,'Smelter Reference List'!$E:$E,0)))</f>
        <v/>
      </c>
      <c r="D944" s="292" t="str">
        <f ca="1">IF(ISERROR($S944),"",OFFSET('Smelter Reference List'!$C$4,$S944-4,0)&amp;"")</f>
        <v/>
      </c>
      <c r="E944" s="292" t="str">
        <f ca="1">IF(ISERROR($S944),"",OFFSET('Smelter Reference List'!$D$4,$S944-4,0)&amp;"")</f>
        <v/>
      </c>
      <c r="F944" s="292" t="str">
        <f ca="1">IF(ISERROR($S944),"",OFFSET('Smelter Reference List'!$E$4,$S944-4,0))</f>
        <v/>
      </c>
      <c r="G944" s="292" t="str">
        <f ca="1">IF(C944=$U$4,"Enter smelter details", IF(ISERROR($S944),"",OFFSET('Smelter Reference List'!$F$4,$S944-4,0)))</f>
        <v/>
      </c>
      <c r="H944" s="293" t="str">
        <f ca="1">IF(ISERROR($S944),"",OFFSET('Smelter Reference List'!$G$4,$S944-4,0))</f>
        <v/>
      </c>
      <c r="I944" s="294" t="str">
        <f ca="1">IF(ISERROR($S944),"",OFFSET('Smelter Reference List'!$H$4,$S944-4,0))</f>
        <v/>
      </c>
      <c r="J944" s="294" t="str">
        <f ca="1">IF(ISERROR($S944),"",OFFSET('Smelter Reference List'!$I$4,$S944-4,0))</f>
        <v/>
      </c>
      <c r="K944" s="295"/>
      <c r="L944" s="295"/>
      <c r="M944" s="295"/>
      <c r="N944" s="295"/>
      <c r="O944" s="295"/>
      <c r="P944" s="295"/>
      <c r="Q944" s="296"/>
      <c r="R944" s="227"/>
      <c r="S944" s="228" t="e">
        <f>IF(C944="",NA(),MATCH($B944&amp;$C944,'Smelter Reference List'!$J:$J,0))</f>
        <v>#N/A</v>
      </c>
      <c r="T944" s="229"/>
      <c r="U944" s="229">
        <f t="shared" ca="1" si="30"/>
        <v>0</v>
      </c>
      <c r="V944" s="229"/>
      <c r="W944" s="229"/>
      <c r="Y944" s="223" t="str">
        <f t="shared" si="31"/>
        <v/>
      </c>
    </row>
    <row r="945" spans="1:25" s="223" customFormat="1" ht="20.25">
      <c r="A945" s="291"/>
      <c r="B945" s="292" t="str">
        <f>IF(LEN(A945)=0,"",INDEX('Smelter Reference List'!$A:$A,MATCH($A945,'Smelter Reference List'!$E:$E,0)))</f>
        <v/>
      </c>
      <c r="C945" s="298" t="str">
        <f>IF(LEN(A945)=0,"",INDEX('Smelter Reference List'!$C:$C,MATCH($A945,'Smelter Reference List'!$E:$E,0)))</f>
        <v/>
      </c>
      <c r="D945" s="292" t="str">
        <f ca="1">IF(ISERROR($S945),"",OFFSET('Smelter Reference List'!$C$4,$S945-4,0)&amp;"")</f>
        <v/>
      </c>
      <c r="E945" s="292" t="str">
        <f ca="1">IF(ISERROR($S945),"",OFFSET('Smelter Reference List'!$D$4,$S945-4,0)&amp;"")</f>
        <v/>
      </c>
      <c r="F945" s="292" t="str">
        <f ca="1">IF(ISERROR($S945),"",OFFSET('Smelter Reference List'!$E$4,$S945-4,0))</f>
        <v/>
      </c>
      <c r="G945" s="292" t="str">
        <f ca="1">IF(C945=$U$4,"Enter smelter details", IF(ISERROR($S945),"",OFFSET('Smelter Reference List'!$F$4,$S945-4,0)))</f>
        <v/>
      </c>
      <c r="H945" s="293" t="str">
        <f ca="1">IF(ISERROR($S945),"",OFFSET('Smelter Reference List'!$G$4,$S945-4,0))</f>
        <v/>
      </c>
      <c r="I945" s="294" t="str">
        <f ca="1">IF(ISERROR($S945),"",OFFSET('Smelter Reference List'!$H$4,$S945-4,0))</f>
        <v/>
      </c>
      <c r="J945" s="294" t="str">
        <f ca="1">IF(ISERROR($S945),"",OFFSET('Smelter Reference List'!$I$4,$S945-4,0))</f>
        <v/>
      </c>
      <c r="K945" s="295"/>
      <c r="L945" s="295"/>
      <c r="M945" s="295"/>
      <c r="N945" s="295"/>
      <c r="O945" s="295"/>
      <c r="P945" s="295"/>
      <c r="Q945" s="296"/>
      <c r="R945" s="227"/>
      <c r="S945" s="228" t="e">
        <f>IF(C945="",NA(),MATCH($B945&amp;$C945,'Smelter Reference List'!$J:$J,0))</f>
        <v>#N/A</v>
      </c>
      <c r="T945" s="229"/>
      <c r="U945" s="229">
        <f t="shared" ca="1" si="30"/>
        <v>0</v>
      </c>
      <c r="V945" s="229"/>
      <c r="W945" s="229"/>
      <c r="Y945" s="223" t="str">
        <f t="shared" si="31"/>
        <v/>
      </c>
    </row>
    <row r="946" spans="1:25" s="223" customFormat="1" ht="20.25">
      <c r="A946" s="291"/>
      <c r="B946" s="292" t="str">
        <f>IF(LEN(A946)=0,"",INDEX('Smelter Reference List'!$A:$A,MATCH($A946,'Smelter Reference List'!$E:$E,0)))</f>
        <v/>
      </c>
      <c r="C946" s="298" t="str">
        <f>IF(LEN(A946)=0,"",INDEX('Smelter Reference List'!$C:$C,MATCH($A946,'Smelter Reference List'!$E:$E,0)))</f>
        <v/>
      </c>
      <c r="D946" s="292" t="str">
        <f ca="1">IF(ISERROR($S946),"",OFFSET('Smelter Reference List'!$C$4,$S946-4,0)&amp;"")</f>
        <v/>
      </c>
      <c r="E946" s="292" t="str">
        <f ca="1">IF(ISERROR($S946),"",OFFSET('Smelter Reference List'!$D$4,$S946-4,0)&amp;"")</f>
        <v/>
      </c>
      <c r="F946" s="292" t="str">
        <f ca="1">IF(ISERROR($S946),"",OFFSET('Smelter Reference List'!$E$4,$S946-4,0))</f>
        <v/>
      </c>
      <c r="G946" s="292" t="str">
        <f ca="1">IF(C946=$U$4,"Enter smelter details", IF(ISERROR($S946),"",OFFSET('Smelter Reference List'!$F$4,$S946-4,0)))</f>
        <v/>
      </c>
      <c r="H946" s="293" t="str">
        <f ca="1">IF(ISERROR($S946),"",OFFSET('Smelter Reference List'!$G$4,$S946-4,0))</f>
        <v/>
      </c>
      <c r="I946" s="294" t="str">
        <f ca="1">IF(ISERROR($S946),"",OFFSET('Smelter Reference List'!$H$4,$S946-4,0))</f>
        <v/>
      </c>
      <c r="J946" s="294" t="str">
        <f ca="1">IF(ISERROR($S946),"",OFFSET('Smelter Reference List'!$I$4,$S946-4,0))</f>
        <v/>
      </c>
      <c r="K946" s="295"/>
      <c r="L946" s="295"/>
      <c r="M946" s="295"/>
      <c r="N946" s="295"/>
      <c r="O946" s="295"/>
      <c r="P946" s="295"/>
      <c r="Q946" s="296"/>
      <c r="R946" s="227"/>
      <c r="S946" s="228" t="e">
        <f>IF(C946="",NA(),MATCH($B946&amp;$C946,'Smelter Reference List'!$J:$J,0))</f>
        <v>#N/A</v>
      </c>
      <c r="T946" s="229"/>
      <c r="U946" s="229">
        <f t="shared" ca="1" si="30"/>
        <v>0</v>
      </c>
      <c r="V946" s="229"/>
      <c r="W946" s="229"/>
      <c r="Y946" s="223" t="str">
        <f t="shared" si="31"/>
        <v/>
      </c>
    </row>
    <row r="947" spans="1:25" s="223" customFormat="1" ht="20.25">
      <c r="A947" s="291"/>
      <c r="B947" s="292" t="str">
        <f>IF(LEN(A947)=0,"",INDEX('Smelter Reference List'!$A:$A,MATCH($A947,'Smelter Reference List'!$E:$E,0)))</f>
        <v/>
      </c>
      <c r="C947" s="298" t="str">
        <f>IF(LEN(A947)=0,"",INDEX('Smelter Reference List'!$C:$C,MATCH($A947,'Smelter Reference List'!$E:$E,0)))</f>
        <v/>
      </c>
      <c r="D947" s="292" t="str">
        <f ca="1">IF(ISERROR($S947),"",OFFSET('Smelter Reference List'!$C$4,$S947-4,0)&amp;"")</f>
        <v/>
      </c>
      <c r="E947" s="292" t="str">
        <f ca="1">IF(ISERROR($S947),"",OFFSET('Smelter Reference List'!$D$4,$S947-4,0)&amp;"")</f>
        <v/>
      </c>
      <c r="F947" s="292" t="str">
        <f ca="1">IF(ISERROR($S947),"",OFFSET('Smelter Reference List'!$E$4,$S947-4,0))</f>
        <v/>
      </c>
      <c r="G947" s="292" t="str">
        <f ca="1">IF(C947=$U$4,"Enter smelter details", IF(ISERROR($S947),"",OFFSET('Smelter Reference List'!$F$4,$S947-4,0)))</f>
        <v/>
      </c>
      <c r="H947" s="293" t="str">
        <f ca="1">IF(ISERROR($S947),"",OFFSET('Smelter Reference List'!$G$4,$S947-4,0))</f>
        <v/>
      </c>
      <c r="I947" s="294" t="str">
        <f ca="1">IF(ISERROR($S947),"",OFFSET('Smelter Reference List'!$H$4,$S947-4,0))</f>
        <v/>
      </c>
      <c r="J947" s="294" t="str">
        <f ca="1">IF(ISERROR($S947),"",OFFSET('Smelter Reference List'!$I$4,$S947-4,0))</f>
        <v/>
      </c>
      <c r="K947" s="295"/>
      <c r="L947" s="295"/>
      <c r="M947" s="295"/>
      <c r="N947" s="295"/>
      <c r="O947" s="295"/>
      <c r="P947" s="295"/>
      <c r="Q947" s="296"/>
      <c r="R947" s="227"/>
      <c r="S947" s="228" t="e">
        <f>IF(C947="",NA(),MATCH($B947&amp;$C947,'Smelter Reference List'!$J:$J,0))</f>
        <v>#N/A</v>
      </c>
      <c r="T947" s="229"/>
      <c r="U947" s="229">
        <f t="shared" ca="1" si="30"/>
        <v>0</v>
      </c>
      <c r="V947" s="229"/>
      <c r="W947" s="229"/>
      <c r="Y947" s="223" t="str">
        <f t="shared" si="31"/>
        <v/>
      </c>
    </row>
    <row r="948" spans="1:25" s="223" customFormat="1" ht="20.25">
      <c r="A948" s="291"/>
      <c r="B948" s="292" t="str">
        <f>IF(LEN(A948)=0,"",INDEX('Smelter Reference List'!$A:$A,MATCH($A948,'Smelter Reference List'!$E:$E,0)))</f>
        <v/>
      </c>
      <c r="C948" s="298" t="str">
        <f>IF(LEN(A948)=0,"",INDEX('Smelter Reference List'!$C:$C,MATCH($A948,'Smelter Reference List'!$E:$E,0)))</f>
        <v/>
      </c>
      <c r="D948" s="292" t="str">
        <f ca="1">IF(ISERROR($S948),"",OFFSET('Smelter Reference List'!$C$4,$S948-4,0)&amp;"")</f>
        <v/>
      </c>
      <c r="E948" s="292" t="str">
        <f ca="1">IF(ISERROR($S948),"",OFFSET('Smelter Reference List'!$D$4,$S948-4,0)&amp;"")</f>
        <v/>
      </c>
      <c r="F948" s="292" t="str">
        <f ca="1">IF(ISERROR($S948),"",OFFSET('Smelter Reference List'!$E$4,$S948-4,0))</f>
        <v/>
      </c>
      <c r="G948" s="292" t="str">
        <f ca="1">IF(C948=$U$4,"Enter smelter details", IF(ISERROR($S948),"",OFFSET('Smelter Reference List'!$F$4,$S948-4,0)))</f>
        <v/>
      </c>
      <c r="H948" s="293" t="str">
        <f ca="1">IF(ISERROR($S948),"",OFFSET('Smelter Reference List'!$G$4,$S948-4,0))</f>
        <v/>
      </c>
      <c r="I948" s="294" t="str">
        <f ca="1">IF(ISERROR($S948),"",OFFSET('Smelter Reference List'!$H$4,$S948-4,0))</f>
        <v/>
      </c>
      <c r="J948" s="294" t="str">
        <f ca="1">IF(ISERROR($S948),"",OFFSET('Smelter Reference List'!$I$4,$S948-4,0))</f>
        <v/>
      </c>
      <c r="K948" s="295"/>
      <c r="L948" s="295"/>
      <c r="M948" s="295"/>
      <c r="N948" s="295"/>
      <c r="O948" s="295"/>
      <c r="P948" s="295"/>
      <c r="Q948" s="296"/>
      <c r="R948" s="227"/>
      <c r="S948" s="228" t="e">
        <f>IF(C948="",NA(),MATCH($B948&amp;$C948,'Smelter Reference List'!$J:$J,0))</f>
        <v>#N/A</v>
      </c>
      <c r="T948" s="229"/>
      <c r="U948" s="229">
        <f t="shared" ca="1" si="30"/>
        <v>0</v>
      </c>
      <c r="V948" s="229"/>
      <c r="W948" s="229"/>
      <c r="Y948" s="223" t="str">
        <f t="shared" si="31"/>
        <v/>
      </c>
    </row>
    <row r="949" spans="1:25" s="223" customFormat="1" ht="20.25">
      <c r="A949" s="291"/>
      <c r="B949" s="292" t="str">
        <f>IF(LEN(A949)=0,"",INDEX('Smelter Reference List'!$A:$A,MATCH($A949,'Smelter Reference List'!$E:$E,0)))</f>
        <v/>
      </c>
      <c r="C949" s="298" t="str">
        <f>IF(LEN(A949)=0,"",INDEX('Smelter Reference List'!$C:$C,MATCH($A949,'Smelter Reference List'!$E:$E,0)))</f>
        <v/>
      </c>
      <c r="D949" s="292" t="str">
        <f ca="1">IF(ISERROR($S949),"",OFFSET('Smelter Reference List'!$C$4,$S949-4,0)&amp;"")</f>
        <v/>
      </c>
      <c r="E949" s="292" t="str">
        <f ca="1">IF(ISERROR($S949),"",OFFSET('Smelter Reference List'!$D$4,$S949-4,0)&amp;"")</f>
        <v/>
      </c>
      <c r="F949" s="292" t="str">
        <f ca="1">IF(ISERROR($S949),"",OFFSET('Smelter Reference List'!$E$4,$S949-4,0))</f>
        <v/>
      </c>
      <c r="G949" s="292" t="str">
        <f ca="1">IF(C949=$U$4,"Enter smelter details", IF(ISERROR($S949),"",OFFSET('Smelter Reference List'!$F$4,$S949-4,0)))</f>
        <v/>
      </c>
      <c r="H949" s="293" t="str">
        <f ca="1">IF(ISERROR($S949),"",OFFSET('Smelter Reference List'!$G$4,$S949-4,0))</f>
        <v/>
      </c>
      <c r="I949" s="294" t="str">
        <f ca="1">IF(ISERROR($S949),"",OFFSET('Smelter Reference List'!$H$4,$S949-4,0))</f>
        <v/>
      </c>
      <c r="J949" s="294" t="str">
        <f ca="1">IF(ISERROR($S949),"",OFFSET('Smelter Reference List'!$I$4,$S949-4,0))</f>
        <v/>
      </c>
      <c r="K949" s="295"/>
      <c r="L949" s="295"/>
      <c r="M949" s="295"/>
      <c r="N949" s="295"/>
      <c r="O949" s="295"/>
      <c r="P949" s="295"/>
      <c r="Q949" s="296"/>
      <c r="R949" s="227"/>
      <c r="S949" s="228" t="e">
        <f>IF(C949="",NA(),MATCH($B949&amp;$C949,'Smelter Reference List'!$J:$J,0))</f>
        <v>#N/A</v>
      </c>
      <c r="T949" s="229"/>
      <c r="U949" s="229">
        <f t="shared" ca="1" si="30"/>
        <v>0</v>
      </c>
      <c r="V949" s="229"/>
      <c r="W949" s="229"/>
      <c r="Y949" s="223" t="str">
        <f t="shared" si="31"/>
        <v/>
      </c>
    </row>
    <row r="950" spans="1:25" s="223" customFormat="1" ht="20.25">
      <c r="A950" s="291"/>
      <c r="B950" s="292" t="str">
        <f>IF(LEN(A950)=0,"",INDEX('Smelter Reference List'!$A:$A,MATCH($A950,'Smelter Reference List'!$E:$E,0)))</f>
        <v/>
      </c>
      <c r="C950" s="298" t="str">
        <f>IF(LEN(A950)=0,"",INDEX('Smelter Reference List'!$C:$C,MATCH($A950,'Smelter Reference List'!$E:$E,0)))</f>
        <v/>
      </c>
      <c r="D950" s="292" t="str">
        <f ca="1">IF(ISERROR($S950),"",OFFSET('Smelter Reference List'!$C$4,$S950-4,0)&amp;"")</f>
        <v/>
      </c>
      <c r="E950" s="292" t="str">
        <f ca="1">IF(ISERROR($S950),"",OFFSET('Smelter Reference List'!$D$4,$S950-4,0)&amp;"")</f>
        <v/>
      </c>
      <c r="F950" s="292" t="str">
        <f ca="1">IF(ISERROR($S950),"",OFFSET('Smelter Reference List'!$E$4,$S950-4,0))</f>
        <v/>
      </c>
      <c r="G950" s="292" t="str">
        <f ca="1">IF(C950=$U$4,"Enter smelter details", IF(ISERROR($S950),"",OFFSET('Smelter Reference List'!$F$4,$S950-4,0)))</f>
        <v/>
      </c>
      <c r="H950" s="293" t="str">
        <f ca="1">IF(ISERROR($S950),"",OFFSET('Smelter Reference List'!$G$4,$S950-4,0))</f>
        <v/>
      </c>
      <c r="I950" s="294" t="str">
        <f ca="1">IF(ISERROR($S950),"",OFFSET('Smelter Reference List'!$H$4,$S950-4,0))</f>
        <v/>
      </c>
      <c r="J950" s="294" t="str">
        <f ca="1">IF(ISERROR($S950),"",OFFSET('Smelter Reference List'!$I$4,$S950-4,0))</f>
        <v/>
      </c>
      <c r="K950" s="295"/>
      <c r="L950" s="295"/>
      <c r="M950" s="295"/>
      <c r="N950" s="295"/>
      <c r="O950" s="295"/>
      <c r="P950" s="295"/>
      <c r="Q950" s="296"/>
      <c r="R950" s="227"/>
      <c r="S950" s="228" t="e">
        <f>IF(C950="",NA(),MATCH($B950&amp;$C950,'Smelter Reference List'!$J:$J,0))</f>
        <v>#N/A</v>
      </c>
      <c r="T950" s="229"/>
      <c r="U950" s="229">
        <f t="shared" ca="1" si="30"/>
        <v>0</v>
      </c>
      <c r="V950" s="229"/>
      <c r="W950" s="229"/>
      <c r="Y950" s="223" t="str">
        <f t="shared" si="31"/>
        <v/>
      </c>
    </row>
    <row r="951" spans="1:25" s="223" customFormat="1" ht="20.25">
      <c r="A951" s="291"/>
      <c r="B951" s="292" t="str">
        <f>IF(LEN(A951)=0,"",INDEX('Smelter Reference List'!$A:$A,MATCH($A951,'Smelter Reference List'!$E:$E,0)))</f>
        <v/>
      </c>
      <c r="C951" s="298" t="str">
        <f>IF(LEN(A951)=0,"",INDEX('Smelter Reference List'!$C:$C,MATCH($A951,'Smelter Reference List'!$E:$E,0)))</f>
        <v/>
      </c>
      <c r="D951" s="292" t="str">
        <f ca="1">IF(ISERROR($S951),"",OFFSET('Smelter Reference List'!$C$4,$S951-4,0)&amp;"")</f>
        <v/>
      </c>
      <c r="E951" s="292" t="str">
        <f ca="1">IF(ISERROR($S951),"",OFFSET('Smelter Reference List'!$D$4,$S951-4,0)&amp;"")</f>
        <v/>
      </c>
      <c r="F951" s="292" t="str">
        <f ca="1">IF(ISERROR($S951),"",OFFSET('Smelter Reference List'!$E$4,$S951-4,0))</f>
        <v/>
      </c>
      <c r="G951" s="292" t="str">
        <f ca="1">IF(C951=$U$4,"Enter smelter details", IF(ISERROR($S951),"",OFFSET('Smelter Reference List'!$F$4,$S951-4,0)))</f>
        <v/>
      </c>
      <c r="H951" s="293" t="str">
        <f ca="1">IF(ISERROR($S951),"",OFFSET('Smelter Reference List'!$G$4,$S951-4,0))</f>
        <v/>
      </c>
      <c r="I951" s="294" t="str">
        <f ca="1">IF(ISERROR($S951),"",OFFSET('Smelter Reference List'!$H$4,$S951-4,0))</f>
        <v/>
      </c>
      <c r="J951" s="294" t="str">
        <f ca="1">IF(ISERROR($S951),"",OFFSET('Smelter Reference List'!$I$4,$S951-4,0))</f>
        <v/>
      </c>
      <c r="K951" s="295"/>
      <c r="L951" s="295"/>
      <c r="M951" s="295"/>
      <c r="N951" s="295"/>
      <c r="O951" s="295"/>
      <c r="P951" s="295"/>
      <c r="Q951" s="296"/>
      <c r="R951" s="227"/>
      <c r="S951" s="228" t="e">
        <f>IF(C951="",NA(),MATCH($B951&amp;$C951,'Smelter Reference List'!$J:$J,0))</f>
        <v>#N/A</v>
      </c>
      <c r="T951" s="229"/>
      <c r="U951" s="229">
        <f t="shared" ca="1" si="30"/>
        <v>0</v>
      </c>
      <c r="V951" s="229"/>
      <c r="W951" s="229"/>
      <c r="Y951" s="223" t="str">
        <f t="shared" si="31"/>
        <v/>
      </c>
    </row>
    <row r="952" spans="1:25" s="223" customFormat="1" ht="20.25">
      <c r="A952" s="291"/>
      <c r="B952" s="292" t="str">
        <f>IF(LEN(A952)=0,"",INDEX('Smelter Reference List'!$A:$A,MATCH($A952,'Smelter Reference List'!$E:$E,0)))</f>
        <v/>
      </c>
      <c r="C952" s="298" t="str">
        <f>IF(LEN(A952)=0,"",INDEX('Smelter Reference List'!$C:$C,MATCH($A952,'Smelter Reference List'!$E:$E,0)))</f>
        <v/>
      </c>
      <c r="D952" s="292" t="str">
        <f ca="1">IF(ISERROR($S952),"",OFFSET('Smelter Reference List'!$C$4,$S952-4,0)&amp;"")</f>
        <v/>
      </c>
      <c r="E952" s="292" t="str">
        <f ca="1">IF(ISERROR($S952),"",OFFSET('Smelter Reference List'!$D$4,$S952-4,0)&amp;"")</f>
        <v/>
      </c>
      <c r="F952" s="292" t="str">
        <f ca="1">IF(ISERROR($S952),"",OFFSET('Smelter Reference List'!$E$4,$S952-4,0))</f>
        <v/>
      </c>
      <c r="G952" s="292" t="str">
        <f ca="1">IF(C952=$U$4,"Enter smelter details", IF(ISERROR($S952),"",OFFSET('Smelter Reference List'!$F$4,$S952-4,0)))</f>
        <v/>
      </c>
      <c r="H952" s="293" t="str">
        <f ca="1">IF(ISERROR($S952),"",OFFSET('Smelter Reference List'!$G$4,$S952-4,0))</f>
        <v/>
      </c>
      <c r="I952" s="294" t="str">
        <f ca="1">IF(ISERROR($S952),"",OFFSET('Smelter Reference List'!$H$4,$S952-4,0))</f>
        <v/>
      </c>
      <c r="J952" s="294" t="str">
        <f ca="1">IF(ISERROR($S952),"",OFFSET('Smelter Reference List'!$I$4,$S952-4,0))</f>
        <v/>
      </c>
      <c r="K952" s="295"/>
      <c r="L952" s="295"/>
      <c r="M952" s="295"/>
      <c r="N952" s="295"/>
      <c r="O952" s="295"/>
      <c r="P952" s="295"/>
      <c r="Q952" s="296"/>
      <c r="R952" s="227"/>
      <c r="S952" s="228" t="e">
        <f>IF(C952="",NA(),MATCH($B952&amp;$C952,'Smelter Reference List'!$J:$J,0))</f>
        <v>#N/A</v>
      </c>
      <c r="T952" s="229"/>
      <c r="U952" s="229">
        <f t="shared" ca="1" si="30"/>
        <v>0</v>
      </c>
      <c r="V952" s="229"/>
      <c r="W952" s="229"/>
      <c r="Y952" s="223" t="str">
        <f t="shared" si="31"/>
        <v/>
      </c>
    </row>
    <row r="953" spans="1:25" s="223" customFormat="1" ht="20.25">
      <c r="A953" s="291"/>
      <c r="B953" s="292" t="str">
        <f>IF(LEN(A953)=0,"",INDEX('Smelter Reference List'!$A:$A,MATCH($A953,'Smelter Reference List'!$E:$E,0)))</f>
        <v/>
      </c>
      <c r="C953" s="298" t="str">
        <f>IF(LEN(A953)=0,"",INDEX('Smelter Reference List'!$C:$C,MATCH($A953,'Smelter Reference List'!$E:$E,0)))</f>
        <v/>
      </c>
      <c r="D953" s="292" t="str">
        <f ca="1">IF(ISERROR($S953),"",OFFSET('Smelter Reference List'!$C$4,$S953-4,0)&amp;"")</f>
        <v/>
      </c>
      <c r="E953" s="292" t="str">
        <f ca="1">IF(ISERROR($S953),"",OFFSET('Smelter Reference List'!$D$4,$S953-4,0)&amp;"")</f>
        <v/>
      </c>
      <c r="F953" s="292" t="str">
        <f ca="1">IF(ISERROR($S953),"",OFFSET('Smelter Reference List'!$E$4,$S953-4,0))</f>
        <v/>
      </c>
      <c r="G953" s="292" t="str">
        <f ca="1">IF(C953=$U$4,"Enter smelter details", IF(ISERROR($S953),"",OFFSET('Smelter Reference List'!$F$4,$S953-4,0)))</f>
        <v/>
      </c>
      <c r="H953" s="293" t="str">
        <f ca="1">IF(ISERROR($S953),"",OFFSET('Smelter Reference List'!$G$4,$S953-4,0))</f>
        <v/>
      </c>
      <c r="I953" s="294" t="str">
        <f ca="1">IF(ISERROR($S953),"",OFFSET('Smelter Reference List'!$H$4,$S953-4,0))</f>
        <v/>
      </c>
      <c r="J953" s="294" t="str">
        <f ca="1">IF(ISERROR($S953),"",OFFSET('Smelter Reference List'!$I$4,$S953-4,0))</f>
        <v/>
      </c>
      <c r="K953" s="295"/>
      <c r="L953" s="295"/>
      <c r="M953" s="295"/>
      <c r="N953" s="295"/>
      <c r="O953" s="295"/>
      <c r="P953" s="295"/>
      <c r="Q953" s="296"/>
      <c r="R953" s="227"/>
      <c r="S953" s="228" t="e">
        <f>IF(C953="",NA(),MATCH($B953&amp;$C953,'Smelter Reference List'!$J:$J,0))</f>
        <v>#N/A</v>
      </c>
      <c r="T953" s="229"/>
      <c r="U953" s="229">
        <f t="shared" ca="1" si="30"/>
        <v>0</v>
      </c>
      <c r="V953" s="229"/>
      <c r="W953" s="229"/>
      <c r="Y953" s="223" t="str">
        <f t="shared" si="31"/>
        <v/>
      </c>
    </row>
    <row r="954" spans="1:25" s="223" customFormat="1" ht="20.25">
      <c r="A954" s="291"/>
      <c r="B954" s="292" t="str">
        <f>IF(LEN(A954)=0,"",INDEX('Smelter Reference List'!$A:$A,MATCH($A954,'Smelter Reference List'!$E:$E,0)))</f>
        <v/>
      </c>
      <c r="C954" s="298" t="str">
        <f>IF(LEN(A954)=0,"",INDEX('Smelter Reference List'!$C:$C,MATCH($A954,'Smelter Reference List'!$E:$E,0)))</f>
        <v/>
      </c>
      <c r="D954" s="292" t="str">
        <f ca="1">IF(ISERROR($S954),"",OFFSET('Smelter Reference List'!$C$4,$S954-4,0)&amp;"")</f>
        <v/>
      </c>
      <c r="E954" s="292" t="str">
        <f ca="1">IF(ISERROR($S954),"",OFFSET('Smelter Reference List'!$D$4,$S954-4,0)&amp;"")</f>
        <v/>
      </c>
      <c r="F954" s="292" t="str">
        <f ca="1">IF(ISERROR($S954),"",OFFSET('Smelter Reference List'!$E$4,$S954-4,0))</f>
        <v/>
      </c>
      <c r="G954" s="292" t="str">
        <f ca="1">IF(C954=$U$4,"Enter smelter details", IF(ISERROR($S954),"",OFFSET('Smelter Reference List'!$F$4,$S954-4,0)))</f>
        <v/>
      </c>
      <c r="H954" s="293" t="str">
        <f ca="1">IF(ISERROR($S954),"",OFFSET('Smelter Reference List'!$G$4,$S954-4,0))</f>
        <v/>
      </c>
      <c r="I954" s="294" t="str">
        <f ca="1">IF(ISERROR($S954),"",OFFSET('Smelter Reference List'!$H$4,$S954-4,0))</f>
        <v/>
      </c>
      <c r="J954" s="294" t="str">
        <f ca="1">IF(ISERROR($S954),"",OFFSET('Smelter Reference List'!$I$4,$S954-4,0))</f>
        <v/>
      </c>
      <c r="K954" s="295"/>
      <c r="L954" s="295"/>
      <c r="M954" s="295"/>
      <c r="N954" s="295"/>
      <c r="O954" s="295"/>
      <c r="P954" s="295"/>
      <c r="Q954" s="296"/>
      <c r="R954" s="227"/>
      <c r="S954" s="228" t="e">
        <f>IF(C954="",NA(),MATCH($B954&amp;$C954,'Smelter Reference List'!$J:$J,0))</f>
        <v>#N/A</v>
      </c>
      <c r="T954" s="229"/>
      <c r="U954" s="229">
        <f t="shared" ca="1" si="30"/>
        <v>0</v>
      </c>
      <c r="V954" s="229"/>
      <c r="W954" s="229"/>
      <c r="Y954" s="223" t="str">
        <f t="shared" si="31"/>
        <v/>
      </c>
    </row>
    <row r="955" spans="1:25" s="223" customFormat="1" ht="20.25">
      <c r="A955" s="291"/>
      <c r="B955" s="292" t="str">
        <f>IF(LEN(A955)=0,"",INDEX('Smelter Reference List'!$A:$A,MATCH($A955,'Smelter Reference List'!$E:$E,0)))</f>
        <v/>
      </c>
      <c r="C955" s="298" t="str">
        <f>IF(LEN(A955)=0,"",INDEX('Smelter Reference List'!$C:$C,MATCH($A955,'Smelter Reference List'!$E:$E,0)))</f>
        <v/>
      </c>
      <c r="D955" s="292" t="str">
        <f ca="1">IF(ISERROR($S955),"",OFFSET('Smelter Reference List'!$C$4,$S955-4,0)&amp;"")</f>
        <v/>
      </c>
      <c r="E955" s="292" t="str">
        <f ca="1">IF(ISERROR($S955),"",OFFSET('Smelter Reference List'!$D$4,$S955-4,0)&amp;"")</f>
        <v/>
      </c>
      <c r="F955" s="292" t="str">
        <f ca="1">IF(ISERROR($S955),"",OFFSET('Smelter Reference List'!$E$4,$S955-4,0))</f>
        <v/>
      </c>
      <c r="G955" s="292" t="str">
        <f ca="1">IF(C955=$U$4,"Enter smelter details", IF(ISERROR($S955),"",OFFSET('Smelter Reference List'!$F$4,$S955-4,0)))</f>
        <v/>
      </c>
      <c r="H955" s="293" t="str">
        <f ca="1">IF(ISERROR($S955),"",OFFSET('Smelter Reference List'!$G$4,$S955-4,0))</f>
        <v/>
      </c>
      <c r="I955" s="294" t="str">
        <f ca="1">IF(ISERROR($S955),"",OFFSET('Smelter Reference List'!$H$4,$S955-4,0))</f>
        <v/>
      </c>
      <c r="J955" s="294" t="str">
        <f ca="1">IF(ISERROR($S955),"",OFFSET('Smelter Reference List'!$I$4,$S955-4,0))</f>
        <v/>
      </c>
      <c r="K955" s="295"/>
      <c r="L955" s="295"/>
      <c r="M955" s="295"/>
      <c r="N955" s="295"/>
      <c r="O955" s="295"/>
      <c r="P955" s="295"/>
      <c r="Q955" s="296"/>
      <c r="R955" s="227"/>
      <c r="S955" s="228" t="e">
        <f>IF(C955="",NA(),MATCH($B955&amp;$C955,'Smelter Reference List'!$J:$J,0))</f>
        <v>#N/A</v>
      </c>
      <c r="T955" s="229"/>
      <c r="U955" s="229">
        <f t="shared" ca="1" si="30"/>
        <v>0</v>
      </c>
      <c r="V955" s="229"/>
      <c r="W955" s="229"/>
      <c r="Y955" s="223" t="str">
        <f t="shared" si="31"/>
        <v/>
      </c>
    </row>
    <row r="956" spans="1:25" s="223" customFormat="1" ht="20.25">
      <c r="A956" s="291"/>
      <c r="B956" s="292" t="str">
        <f>IF(LEN(A956)=0,"",INDEX('Smelter Reference List'!$A:$A,MATCH($A956,'Smelter Reference List'!$E:$E,0)))</f>
        <v/>
      </c>
      <c r="C956" s="298" t="str">
        <f>IF(LEN(A956)=0,"",INDEX('Smelter Reference List'!$C:$C,MATCH($A956,'Smelter Reference List'!$E:$E,0)))</f>
        <v/>
      </c>
      <c r="D956" s="292" t="str">
        <f ca="1">IF(ISERROR($S956),"",OFFSET('Smelter Reference List'!$C$4,$S956-4,0)&amp;"")</f>
        <v/>
      </c>
      <c r="E956" s="292" t="str">
        <f ca="1">IF(ISERROR($S956),"",OFFSET('Smelter Reference List'!$D$4,$S956-4,0)&amp;"")</f>
        <v/>
      </c>
      <c r="F956" s="292" t="str">
        <f ca="1">IF(ISERROR($S956),"",OFFSET('Smelter Reference List'!$E$4,$S956-4,0))</f>
        <v/>
      </c>
      <c r="G956" s="292" t="str">
        <f ca="1">IF(C956=$U$4,"Enter smelter details", IF(ISERROR($S956),"",OFFSET('Smelter Reference List'!$F$4,$S956-4,0)))</f>
        <v/>
      </c>
      <c r="H956" s="293" t="str">
        <f ca="1">IF(ISERROR($S956),"",OFFSET('Smelter Reference List'!$G$4,$S956-4,0))</f>
        <v/>
      </c>
      <c r="I956" s="294" t="str">
        <f ca="1">IF(ISERROR($S956),"",OFFSET('Smelter Reference List'!$H$4,$S956-4,0))</f>
        <v/>
      </c>
      <c r="J956" s="294" t="str">
        <f ca="1">IF(ISERROR($S956),"",OFFSET('Smelter Reference List'!$I$4,$S956-4,0))</f>
        <v/>
      </c>
      <c r="K956" s="295"/>
      <c r="L956" s="295"/>
      <c r="M956" s="295"/>
      <c r="N956" s="295"/>
      <c r="O956" s="295"/>
      <c r="P956" s="295"/>
      <c r="Q956" s="296"/>
      <c r="R956" s="227"/>
      <c r="S956" s="228" t="e">
        <f>IF(C956="",NA(),MATCH($B956&amp;$C956,'Smelter Reference List'!$J:$J,0))</f>
        <v>#N/A</v>
      </c>
      <c r="T956" s="229"/>
      <c r="U956" s="229">
        <f t="shared" ca="1" si="30"/>
        <v>0</v>
      </c>
      <c r="V956" s="229"/>
      <c r="W956" s="229"/>
      <c r="Y956" s="223" t="str">
        <f t="shared" si="31"/>
        <v/>
      </c>
    </row>
    <row r="957" spans="1:25" s="223" customFormat="1" ht="20.25">
      <c r="A957" s="291"/>
      <c r="B957" s="292" t="str">
        <f>IF(LEN(A957)=0,"",INDEX('Smelter Reference List'!$A:$A,MATCH($A957,'Smelter Reference List'!$E:$E,0)))</f>
        <v/>
      </c>
      <c r="C957" s="298" t="str">
        <f>IF(LEN(A957)=0,"",INDEX('Smelter Reference List'!$C:$C,MATCH($A957,'Smelter Reference List'!$E:$E,0)))</f>
        <v/>
      </c>
      <c r="D957" s="292" t="str">
        <f ca="1">IF(ISERROR($S957),"",OFFSET('Smelter Reference List'!$C$4,$S957-4,0)&amp;"")</f>
        <v/>
      </c>
      <c r="E957" s="292" t="str">
        <f ca="1">IF(ISERROR($S957),"",OFFSET('Smelter Reference List'!$D$4,$S957-4,0)&amp;"")</f>
        <v/>
      </c>
      <c r="F957" s="292" t="str">
        <f ca="1">IF(ISERROR($S957),"",OFFSET('Smelter Reference List'!$E$4,$S957-4,0))</f>
        <v/>
      </c>
      <c r="G957" s="292" t="str">
        <f ca="1">IF(C957=$U$4,"Enter smelter details", IF(ISERROR($S957),"",OFFSET('Smelter Reference List'!$F$4,$S957-4,0)))</f>
        <v/>
      </c>
      <c r="H957" s="293" t="str">
        <f ca="1">IF(ISERROR($S957),"",OFFSET('Smelter Reference List'!$G$4,$S957-4,0))</f>
        <v/>
      </c>
      <c r="I957" s="294" t="str">
        <f ca="1">IF(ISERROR($S957),"",OFFSET('Smelter Reference List'!$H$4,$S957-4,0))</f>
        <v/>
      </c>
      <c r="J957" s="294" t="str">
        <f ca="1">IF(ISERROR($S957),"",OFFSET('Smelter Reference List'!$I$4,$S957-4,0))</f>
        <v/>
      </c>
      <c r="K957" s="295"/>
      <c r="L957" s="295"/>
      <c r="M957" s="295"/>
      <c r="N957" s="295"/>
      <c r="O957" s="295"/>
      <c r="P957" s="295"/>
      <c r="Q957" s="296"/>
      <c r="R957" s="227"/>
      <c r="S957" s="228" t="e">
        <f>IF(C957="",NA(),MATCH($B957&amp;$C957,'Smelter Reference List'!$J:$J,0))</f>
        <v>#N/A</v>
      </c>
      <c r="T957" s="229"/>
      <c r="U957" s="229">
        <f t="shared" ca="1" si="30"/>
        <v>0</v>
      </c>
      <c r="V957" s="229"/>
      <c r="W957" s="229"/>
      <c r="Y957" s="223" t="str">
        <f t="shared" si="31"/>
        <v/>
      </c>
    </row>
    <row r="958" spans="1:25" s="223" customFormat="1" ht="20.25">
      <c r="A958" s="291"/>
      <c r="B958" s="292" t="str">
        <f>IF(LEN(A958)=0,"",INDEX('Smelter Reference List'!$A:$A,MATCH($A958,'Smelter Reference List'!$E:$E,0)))</f>
        <v/>
      </c>
      <c r="C958" s="298" t="str">
        <f>IF(LEN(A958)=0,"",INDEX('Smelter Reference List'!$C:$C,MATCH($A958,'Smelter Reference List'!$E:$E,0)))</f>
        <v/>
      </c>
      <c r="D958" s="292" t="str">
        <f ca="1">IF(ISERROR($S958),"",OFFSET('Smelter Reference List'!$C$4,$S958-4,0)&amp;"")</f>
        <v/>
      </c>
      <c r="E958" s="292" t="str">
        <f ca="1">IF(ISERROR($S958),"",OFFSET('Smelter Reference List'!$D$4,$S958-4,0)&amp;"")</f>
        <v/>
      </c>
      <c r="F958" s="292" t="str">
        <f ca="1">IF(ISERROR($S958),"",OFFSET('Smelter Reference List'!$E$4,$S958-4,0))</f>
        <v/>
      </c>
      <c r="G958" s="292" t="str">
        <f ca="1">IF(C958=$U$4,"Enter smelter details", IF(ISERROR($S958),"",OFFSET('Smelter Reference List'!$F$4,$S958-4,0)))</f>
        <v/>
      </c>
      <c r="H958" s="293" t="str">
        <f ca="1">IF(ISERROR($S958),"",OFFSET('Smelter Reference List'!$G$4,$S958-4,0))</f>
        <v/>
      </c>
      <c r="I958" s="294" t="str">
        <f ca="1">IF(ISERROR($S958),"",OFFSET('Smelter Reference List'!$H$4,$S958-4,0))</f>
        <v/>
      </c>
      <c r="J958" s="294" t="str">
        <f ca="1">IF(ISERROR($S958),"",OFFSET('Smelter Reference List'!$I$4,$S958-4,0))</f>
        <v/>
      </c>
      <c r="K958" s="295"/>
      <c r="L958" s="295"/>
      <c r="M958" s="295"/>
      <c r="N958" s="295"/>
      <c r="O958" s="295"/>
      <c r="P958" s="295"/>
      <c r="Q958" s="296"/>
      <c r="R958" s="227"/>
      <c r="S958" s="228" t="e">
        <f>IF(C958="",NA(),MATCH($B958&amp;$C958,'Smelter Reference List'!$J:$J,0))</f>
        <v>#N/A</v>
      </c>
      <c r="T958" s="229"/>
      <c r="U958" s="229">
        <f t="shared" ca="1" si="30"/>
        <v>0</v>
      </c>
      <c r="V958" s="229"/>
      <c r="W958" s="229"/>
      <c r="Y958" s="223" t="str">
        <f t="shared" si="31"/>
        <v/>
      </c>
    </row>
    <row r="959" spans="1:25" s="223" customFormat="1" ht="20.25">
      <c r="A959" s="291"/>
      <c r="B959" s="292" t="str">
        <f>IF(LEN(A959)=0,"",INDEX('Smelter Reference List'!$A:$A,MATCH($A959,'Smelter Reference List'!$E:$E,0)))</f>
        <v/>
      </c>
      <c r="C959" s="298" t="str">
        <f>IF(LEN(A959)=0,"",INDEX('Smelter Reference List'!$C:$C,MATCH($A959,'Smelter Reference List'!$E:$E,0)))</f>
        <v/>
      </c>
      <c r="D959" s="292" t="str">
        <f ca="1">IF(ISERROR($S959),"",OFFSET('Smelter Reference List'!$C$4,$S959-4,0)&amp;"")</f>
        <v/>
      </c>
      <c r="E959" s="292" t="str">
        <f ca="1">IF(ISERROR($S959),"",OFFSET('Smelter Reference List'!$D$4,$S959-4,0)&amp;"")</f>
        <v/>
      </c>
      <c r="F959" s="292" t="str">
        <f ca="1">IF(ISERROR($S959),"",OFFSET('Smelter Reference List'!$E$4,$S959-4,0))</f>
        <v/>
      </c>
      <c r="G959" s="292" t="str">
        <f ca="1">IF(C959=$U$4,"Enter smelter details", IF(ISERROR($S959),"",OFFSET('Smelter Reference List'!$F$4,$S959-4,0)))</f>
        <v/>
      </c>
      <c r="H959" s="293" t="str">
        <f ca="1">IF(ISERROR($S959),"",OFFSET('Smelter Reference List'!$G$4,$S959-4,0))</f>
        <v/>
      </c>
      <c r="I959" s="294" t="str">
        <f ca="1">IF(ISERROR($S959),"",OFFSET('Smelter Reference List'!$H$4,$S959-4,0))</f>
        <v/>
      </c>
      <c r="J959" s="294" t="str">
        <f ca="1">IF(ISERROR($S959),"",OFFSET('Smelter Reference List'!$I$4,$S959-4,0))</f>
        <v/>
      </c>
      <c r="K959" s="295"/>
      <c r="L959" s="295"/>
      <c r="M959" s="295"/>
      <c r="N959" s="295"/>
      <c r="O959" s="295"/>
      <c r="P959" s="295"/>
      <c r="Q959" s="296"/>
      <c r="R959" s="227"/>
      <c r="S959" s="228" t="e">
        <f>IF(C959="",NA(),MATCH($B959&amp;$C959,'Smelter Reference List'!$J:$J,0))</f>
        <v>#N/A</v>
      </c>
      <c r="T959" s="229"/>
      <c r="U959" s="229">
        <f t="shared" ca="1" si="30"/>
        <v>0</v>
      </c>
      <c r="V959" s="229"/>
      <c r="W959" s="229"/>
      <c r="Y959" s="223" t="str">
        <f t="shared" si="31"/>
        <v/>
      </c>
    </row>
    <row r="960" spans="1:25" s="223" customFormat="1" ht="20.25">
      <c r="A960" s="291"/>
      <c r="B960" s="292" t="str">
        <f>IF(LEN(A960)=0,"",INDEX('Smelter Reference List'!$A:$A,MATCH($A960,'Smelter Reference List'!$E:$E,0)))</f>
        <v/>
      </c>
      <c r="C960" s="298" t="str">
        <f>IF(LEN(A960)=0,"",INDEX('Smelter Reference List'!$C:$C,MATCH($A960,'Smelter Reference List'!$E:$E,0)))</f>
        <v/>
      </c>
      <c r="D960" s="292" t="str">
        <f ca="1">IF(ISERROR($S960),"",OFFSET('Smelter Reference List'!$C$4,$S960-4,0)&amp;"")</f>
        <v/>
      </c>
      <c r="E960" s="292" t="str">
        <f ca="1">IF(ISERROR($S960),"",OFFSET('Smelter Reference List'!$D$4,$S960-4,0)&amp;"")</f>
        <v/>
      </c>
      <c r="F960" s="292" t="str">
        <f ca="1">IF(ISERROR($S960),"",OFFSET('Smelter Reference List'!$E$4,$S960-4,0))</f>
        <v/>
      </c>
      <c r="G960" s="292" t="str">
        <f ca="1">IF(C960=$U$4,"Enter smelter details", IF(ISERROR($S960),"",OFFSET('Smelter Reference List'!$F$4,$S960-4,0)))</f>
        <v/>
      </c>
      <c r="H960" s="293" t="str">
        <f ca="1">IF(ISERROR($S960),"",OFFSET('Smelter Reference List'!$G$4,$S960-4,0))</f>
        <v/>
      </c>
      <c r="I960" s="294" t="str">
        <f ca="1">IF(ISERROR($S960),"",OFFSET('Smelter Reference List'!$H$4,$S960-4,0))</f>
        <v/>
      </c>
      <c r="J960" s="294" t="str">
        <f ca="1">IF(ISERROR($S960),"",OFFSET('Smelter Reference List'!$I$4,$S960-4,0))</f>
        <v/>
      </c>
      <c r="K960" s="295"/>
      <c r="L960" s="295"/>
      <c r="M960" s="295"/>
      <c r="N960" s="295"/>
      <c r="O960" s="295"/>
      <c r="P960" s="295"/>
      <c r="Q960" s="296"/>
      <c r="R960" s="227"/>
      <c r="S960" s="228" t="e">
        <f>IF(C960="",NA(),MATCH($B960&amp;$C960,'Smelter Reference List'!$J:$J,0))</f>
        <v>#N/A</v>
      </c>
      <c r="T960" s="229"/>
      <c r="U960" s="229">
        <f t="shared" ca="1" si="30"/>
        <v>0</v>
      </c>
      <c r="V960" s="229"/>
      <c r="W960" s="229"/>
      <c r="Y960" s="223" t="str">
        <f t="shared" si="31"/>
        <v/>
      </c>
    </row>
    <row r="961" spans="1:25" s="223" customFormat="1" ht="20.25">
      <c r="A961" s="291"/>
      <c r="B961" s="292" t="str">
        <f>IF(LEN(A961)=0,"",INDEX('Smelter Reference List'!$A:$A,MATCH($A961,'Smelter Reference List'!$E:$E,0)))</f>
        <v/>
      </c>
      <c r="C961" s="298" t="str">
        <f>IF(LEN(A961)=0,"",INDEX('Smelter Reference List'!$C:$C,MATCH($A961,'Smelter Reference List'!$E:$E,0)))</f>
        <v/>
      </c>
      <c r="D961" s="292" t="str">
        <f ca="1">IF(ISERROR($S961),"",OFFSET('Smelter Reference List'!$C$4,$S961-4,0)&amp;"")</f>
        <v/>
      </c>
      <c r="E961" s="292" t="str">
        <f ca="1">IF(ISERROR($S961),"",OFFSET('Smelter Reference List'!$D$4,$S961-4,0)&amp;"")</f>
        <v/>
      </c>
      <c r="F961" s="292" t="str">
        <f ca="1">IF(ISERROR($S961),"",OFFSET('Smelter Reference List'!$E$4,$S961-4,0))</f>
        <v/>
      </c>
      <c r="G961" s="292" t="str">
        <f ca="1">IF(C961=$U$4,"Enter smelter details", IF(ISERROR($S961),"",OFFSET('Smelter Reference List'!$F$4,$S961-4,0)))</f>
        <v/>
      </c>
      <c r="H961" s="293" t="str">
        <f ca="1">IF(ISERROR($S961),"",OFFSET('Smelter Reference List'!$G$4,$S961-4,0))</f>
        <v/>
      </c>
      <c r="I961" s="294" t="str">
        <f ca="1">IF(ISERROR($S961),"",OFFSET('Smelter Reference List'!$H$4,$S961-4,0))</f>
        <v/>
      </c>
      <c r="J961" s="294" t="str">
        <f ca="1">IF(ISERROR($S961),"",OFFSET('Smelter Reference List'!$I$4,$S961-4,0))</f>
        <v/>
      </c>
      <c r="K961" s="295"/>
      <c r="L961" s="295"/>
      <c r="M961" s="295"/>
      <c r="N961" s="295"/>
      <c r="O961" s="295"/>
      <c r="P961" s="295"/>
      <c r="Q961" s="296"/>
      <c r="R961" s="227"/>
      <c r="S961" s="228" t="e">
        <f>IF(C961="",NA(),MATCH($B961&amp;$C961,'Smelter Reference List'!$J:$J,0))</f>
        <v>#N/A</v>
      </c>
      <c r="T961" s="229"/>
      <c r="U961" s="229">
        <f t="shared" ca="1" si="30"/>
        <v>0</v>
      </c>
      <c r="V961" s="229"/>
      <c r="W961" s="229"/>
      <c r="Y961" s="223" t="str">
        <f t="shared" si="31"/>
        <v/>
      </c>
    </row>
    <row r="962" spans="1:25" s="223" customFormat="1" ht="20.25">
      <c r="A962" s="291"/>
      <c r="B962" s="292" t="str">
        <f>IF(LEN(A962)=0,"",INDEX('Smelter Reference List'!$A:$A,MATCH($A962,'Smelter Reference List'!$E:$E,0)))</f>
        <v/>
      </c>
      <c r="C962" s="298" t="str">
        <f>IF(LEN(A962)=0,"",INDEX('Smelter Reference List'!$C:$C,MATCH($A962,'Smelter Reference List'!$E:$E,0)))</f>
        <v/>
      </c>
      <c r="D962" s="292" t="str">
        <f ca="1">IF(ISERROR($S962),"",OFFSET('Smelter Reference List'!$C$4,$S962-4,0)&amp;"")</f>
        <v/>
      </c>
      <c r="E962" s="292" t="str">
        <f ca="1">IF(ISERROR($S962),"",OFFSET('Smelter Reference List'!$D$4,$S962-4,0)&amp;"")</f>
        <v/>
      </c>
      <c r="F962" s="292" t="str">
        <f ca="1">IF(ISERROR($S962),"",OFFSET('Smelter Reference List'!$E$4,$S962-4,0))</f>
        <v/>
      </c>
      <c r="G962" s="292" t="str">
        <f ca="1">IF(C962=$U$4,"Enter smelter details", IF(ISERROR($S962),"",OFFSET('Smelter Reference List'!$F$4,$S962-4,0)))</f>
        <v/>
      </c>
      <c r="H962" s="293" t="str">
        <f ca="1">IF(ISERROR($S962),"",OFFSET('Smelter Reference List'!$G$4,$S962-4,0))</f>
        <v/>
      </c>
      <c r="I962" s="294" t="str">
        <f ca="1">IF(ISERROR($S962),"",OFFSET('Smelter Reference List'!$H$4,$S962-4,0))</f>
        <v/>
      </c>
      <c r="J962" s="294" t="str">
        <f ca="1">IF(ISERROR($S962),"",OFFSET('Smelter Reference List'!$I$4,$S962-4,0))</f>
        <v/>
      </c>
      <c r="K962" s="295"/>
      <c r="L962" s="295"/>
      <c r="M962" s="295"/>
      <c r="N962" s="295"/>
      <c r="O962" s="295"/>
      <c r="P962" s="295"/>
      <c r="Q962" s="296"/>
      <c r="R962" s="227"/>
      <c r="S962" s="228" t="e">
        <f>IF(C962="",NA(),MATCH($B962&amp;$C962,'Smelter Reference List'!$J:$J,0))</f>
        <v>#N/A</v>
      </c>
      <c r="T962" s="229"/>
      <c r="U962" s="229">
        <f t="shared" ca="1" si="30"/>
        <v>0</v>
      </c>
      <c r="V962" s="229"/>
      <c r="W962" s="229"/>
      <c r="Y962" s="223" t="str">
        <f t="shared" si="31"/>
        <v/>
      </c>
    </row>
    <row r="963" spans="1:25" s="223" customFormat="1" ht="20.25">
      <c r="A963" s="291"/>
      <c r="B963" s="292" t="str">
        <f>IF(LEN(A963)=0,"",INDEX('Smelter Reference List'!$A:$A,MATCH($A963,'Smelter Reference List'!$E:$E,0)))</f>
        <v/>
      </c>
      <c r="C963" s="298" t="str">
        <f>IF(LEN(A963)=0,"",INDEX('Smelter Reference List'!$C:$C,MATCH($A963,'Smelter Reference List'!$E:$E,0)))</f>
        <v/>
      </c>
      <c r="D963" s="292" t="str">
        <f ca="1">IF(ISERROR($S963),"",OFFSET('Smelter Reference List'!$C$4,$S963-4,0)&amp;"")</f>
        <v/>
      </c>
      <c r="E963" s="292" t="str">
        <f ca="1">IF(ISERROR($S963),"",OFFSET('Smelter Reference List'!$D$4,$S963-4,0)&amp;"")</f>
        <v/>
      </c>
      <c r="F963" s="292" t="str">
        <f ca="1">IF(ISERROR($S963),"",OFFSET('Smelter Reference List'!$E$4,$S963-4,0))</f>
        <v/>
      </c>
      <c r="G963" s="292" t="str">
        <f ca="1">IF(C963=$U$4,"Enter smelter details", IF(ISERROR($S963),"",OFFSET('Smelter Reference List'!$F$4,$S963-4,0)))</f>
        <v/>
      </c>
      <c r="H963" s="293" t="str">
        <f ca="1">IF(ISERROR($S963),"",OFFSET('Smelter Reference List'!$G$4,$S963-4,0))</f>
        <v/>
      </c>
      <c r="I963" s="294" t="str">
        <f ca="1">IF(ISERROR($S963),"",OFFSET('Smelter Reference List'!$H$4,$S963-4,0))</f>
        <v/>
      </c>
      <c r="J963" s="294" t="str">
        <f ca="1">IF(ISERROR($S963),"",OFFSET('Smelter Reference List'!$I$4,$S963-4,0))</f>
        <v/>
      </c>
      <c r="K963" s="295"/>
      <c r="L963" s="295"/>
      <c r="M963" s="295"/>
      <c r="N963" s="295"/>
      <c r="O963" s="295"/>
      <c r="P963" s="295"/>
      <c r="Q963" s="296"/>
      <c r="R963" s="227"/>
      <c r="S963" s="228" t="e">
        <f>IF(C963="",NA(),MATCH($B963&amp;$C963,'Smelter Reference List'!$J:$J,0))</f>
        <v>#N/A</v>
      </c>
      <c r="T963" s="229"/>
      <c r="U963" s="229">
        <f t="shared" ca="1" si="30"/>
        <v>0</v>
      </c>
      <c r="V963" s="229"/>
      <c r="W963" s="229"/>
      <c r="Y963" s="223" t="str">
        <f t="shared" si="31"/>
        <v/>
      </c>
    </row>
    <row r="964" spans="1:25" s="223" customFormat="1" ht="20.25">
      <c r="A964" s="291"/>
      <c r="B964" s="292" t="str">
        <f>IF(LEN(A964)=0,"",INDEX('Smelter Reference List'!$A:$A,MATCH($A964,'Smelter Reference List'!$E:$E,0)))</f>
        <v/>
      </c>
      <c r="C964" s="298" t="str">
        <f>IF(LEN(A964)=0,"",INDEX('Smelter Reference List'!$C:$C,MATCH($A964,'Smelter Reference List'!$E:$E,0)))</f>
        <v/>
      </c>
      <c r="D964" s="292" t="str">
        <f ca="1">IF(ISERROR($S964),"",OFFSET('Smelter Reference List'!$C$4,$S964-4,0)&amp;"")</f>
        <v/>
      </c>
      <c r="E964" s="292" t="str">
        <f ca="1">IF(ISERROR($S964),"",OFFSET('Smelter Reference List'!$D$4,$S964-4,0)&amp;"")</f>
        <v/>
      </c>
      <c r="F964" s="292" t="str">
        <f ca="1">IF(ISERROR($S964),"",OFFSET('Smelter Reference List'!$E$4,$S964-4,0))</f>
        <v/>
      </c>
      <c r="G964" s="292" t="str">
        <f ca="1">IF(C964=$U$4,"Enter smelter details", IF(ISERROR($S964),"",OFFSET('Smelter Reference List'!$F$4,$S964-4,0)))</f>
        <v/>
      </c>
      <c r="H964" s="293" t="str">
        <f ca="1">IF(ISERROR($S964),"",OFFSET('Smelter Reference List'!$G$4,$S964-4,0))</f>
        <v/>
      </c>
      <c r="I964" s="294" t="str">
        <f ca="1">IF(ISERROR($S964),"",OFFSET('Smelter Reference List'!$H$4,$S964-4,0))</f>
        <v/>
      </c>
      <c r="J964" s="294" t="str">
        <f ca="1">IF(ISERROR($S964),"",OFFSET('Smelter Reference List'!$I$4,$S964-4,0))</f>
        <v/>
      </c>
      <c r="K964" s="295"/>
      <c r="L964" s="295"/>
      <c r="M964" s="295"/>
      <c r="N964" s="295"/>
      <c r="O964" s="295"/>
      <c r="P964" s="295"/>
      <c r="Q964" s="296"/>
      <c r="R964" s="227"/>
      <c r="S964" s="228" t="e">
        <f>IF(C964="",NA(),MATCH($B964&amp;$C964,'Smelter Reference List'!$J:$J,0))</f>
        <v>#N/A</v>
      </c>
      <c r="T964" s="229"/>
      <c r="U964" s="229">
        <f t="shared" ca="1" si="30"/>
        <v>0</v>
      </c>
      <c r="V964" s="229"/>
      <c r="W964" s="229"/>
      <c r="Y964" s="223" t="str">
        <f t="shared" si="31"/>
        <v/>
      </c>
    </row>
    <row r="965" spans="1:25" s="223" customFormat="1" ht="20.25">
      <c r="A965" s="291"/>
      <c r="B965" s="292" t="str">
        <f>IF(LEN(A965)=0,"",INDEX('Smelter Reference List'!$A:$A,MATCH($A965,'Smelter Reference List'!$E:$E,0)))</f>
        <v/>
      </c>
      <c r="C965" s="298" t="str">
        <f>IF(LEN(A965)=0,"",INDEX('Smelter Reference List'!$C:$C,MATCH($A965,'Smelter Reference List'!$E:$E,0)))</f>
        <v/>
      </c>
      <c r="D965" s="292" t="str">
        <f ca="1">IF(ISERROR($S965),"",OFFSET('Smelter Reference List'!$C$4,$S965-4,0)&amp;"")</f>
        <v/>
      </c>
      <c r="E965" s="292" t="str">
        <f ca="1">IF(ISERROR($S965),"",OFFSET('Smelter Reference List'!$D$4,$S965-4,0)&amp;"")</f>
        <v/>
      </c>
      <c r="F965" s="292" t="str">
        <f ca="1">IF(ISERROR($S965),"",OFFSET('Smelter Reference List'!$E$4,$S965-4,0))</f>
        <v/>
      </c>
      <c r="G965" s="292" t="str">
        <f ca="1">IF(C965=$U$4,"Enter smelter details", IF(ISERROR($S965),"",OFFSET('Smelter Reference List'!$F$4,$S965-4,0)))</f>
        <v/>
      </c>
      <c r="H965" s="293" t="str">
        <f ca="1">IF(ISERROR($S965),"",OFFSET('Smelter Reference List'!$G$4,$S965-4,0))</f>
        <v/>
      </c>
      <c r="I965" s="294" t="str">
        <f ca="1">IF(ISERROR($S965),"",OFFSET('Smelter Reference List'!$H$4,$S965-4,0))</f>
        <v/>
      </c>
      <c r="J965" s="294" t="str">
        <f ca="1">IF(ISERROR($S965),"",OFFSET('Smelter Reference List'!$I$4,$S965-4,0))</f>
        <v/>
      </c>
      <c r="K965" s="295"/>
      <c r="L965" s="295"/>
      <c r="M965" s="295"/>
      <c r="N965" s="295"/>
      <c r="O965" s="295"/>
      <c r="P965" s="295"/>
      <c r="Q965" s="296"/>
      <c r="R965" s="227"/>
      <c r="S965" s="228" t="e">
        <f>IF(C965="",NA(),MATCH($B965&amp;$C965,'Smelter Reference List'!$J:$J,0))</f>
        <v>#N/A</v>
      </c>
      <c r="T965" s="229"/>
      <c r="U965" s="229">
        <f t="shared" ref="U965:U1028" ca="1" si="32">IF(AND(C965="Smelter not listed",OR(LEN(D965)=0,LEN(E965)=0)),1,0)</f>
        <v>0</v>
      </c>
      <c r="V965" s="229"/>
      <c r="W965" s="229"/>
      <c r="Y965" s="223" t="str">
        <f t="shared" ref="Y965:Y1028" si="33">B965&amp;C965</f>
        <v/>
      </c>
    </row>
    <row r="966" spans="1:25" s="223" customFormat="1" ht="20.25">
      <c r="A966" s="291"/>
      <c r="B966" s="292" t="str">
        <f>IF(LEN(A966)=0,"",INDEX('Smelter Reference List'!$A:$A,MATCH($A966,'Smelter Reference List'!$E:$E,0)))</f>
        <v/>
      </c>
      <c r="C966" s="298" t="str">
        <f>IF(LEN(A966)=0,"",INDEX('Smelter Reference List'!$C:$C,MATCH($A966,'Smelter Reference List'!$E:$E,0)))</f>
        <v/>
      </c>
      <c r="D966" s="292" t="str">
        <f ca="1">IF(ISERROR($S966),"",OFFSET('Smelter Reference List'!$C$4,$S966-4,0)&amp;"")</f>
        <v/>
      </c>
      <c r="E966" s="292" t="str">
        <f ca="1">IF(ISERROR($S966),"",OFFSET('Smelter Reference List'!$D$4,$S966-4,0)&amp;"")</f>
        <v/>
      </c>
      <c r="F966" s="292" t="str">
        <f ca="1">IF(ISERROR($S966),"",OFFSET('Smelter Reference List'!$E$4,$S966-4,0))</f>
        <v/>
      </c>
      <c r="G966" s="292" t="str">
        <f ca="1">IF(C966=$U$4,"Enter smelter details", IF(ISERROR($S966),"",OFFSET('Smelter Reference List'!$F$4,$S966-4,0)))</f>
        <v/>
      </c>
      <c r="H966" s="293" t="str">
        <f ca="1">IF(ISERROR($S966),"",OFFSET('Smelter Reference List'!$G$4,$S966-4,0))</f>
        <v/>
      </c>
      <c r="I966" s="294" t="str">
        <f ca="1">IF(ISERROR($S966),"",OFFSET('Smelter Reference List'!$H$4,$S966-4,0))</f>
        <v/>
      </c>
      <c r="J966" s="294" t="str">
        <f ca="1">IF(ISERROR($S966),"",OFFSET('Smelter Reference List'!$I$4,$S966-4,0))</f>
        <v/>
      </c>
      <c r="K966" s="295"/>
      <c r="L966" s="295"/>
      <c r="M966" s="295"/>
      <c r="N966" s="295"/>
      <c r="O966" s="295"/>
      <c r="P966" s="295"/>
      <c r="Q966" s="296"/>
      <c r="R966" s="227"/>
      <c r="S966" s="228" t="e">
        <f>IF(C966="",NA(),MATCH($B966&amp;$C966,'Smelter Reference List'!$J:$J,0))</f>
        <v>#N/A</v>
      </c>
      <c r="T966" s="229"/>
      <c r="U966" s="229">
        <f t="shared" ca="1" si="32"/>
        <v>0</v>
      </c>
      <c r="V966" s="229"/>
      <c r="W966" s="229"/>
      <c r="Y966" s="223" t="str">
        <f t="shared" si="33"/>
        <v/>
      </c>
    </row>
    <row r="967" spans="1:25" s="223" customFormat="1" ht="20.25">
      <c r="A967" s="291"/>
      <c r="B967" s="292" t="str">
        <f>IF(LEN(A967)=0,"",INDEX('Smelter Reference List'!$A:$A,MATCH($A967,'Smelter Reference List'!$E:$E,0)))</f>
        <v/>
      </c>
      <c r="C967" s="298" t="str">
        <f>IF(LEN(A967)=0,"",INDEX('Smelter Reference List'!$C:$C,MATCH($A967,'Smelter Reference List'!$E:$E,0)))</f>
        <v/>
      </c>
      <c r="D967" s="292" t="str">
        <f ca="1">IF(ISERROR($S967),"",OFFSET('Smelter Reference List'!$C$4,$S967-4,0)&amp;"")</f>
        <v/>
      </c>
      <c r="E967" s="292" t="str">
        <f ca="1">IF(ISERROR($S967),"",OFFSET('Smelter Reference List'!$D$4,$S967-4,0)&amp;"")</f>
        <v/>
      </c>
      <c r="F967" s="292" t="str">
        <f ca="1">IF(ISERROR($S967),"",OFFSET('Smelter Reference List'!$E$4,$S967-4,0))</f>
        <v/>
      </c>
      <c r="G967" s="292" t="str">
        <f ca="1">IF(C967=$U$4,"Enter smelter details", IF(ISERROR($S967),"",OFFSET('Smelter Reference List'!$F$4,$S967-4,0)))</f>
        <v/>
      </c>
      <c r="H967" s="293" t="str">
        <f ca="1">IF(ISERROR($S967),"",OFFSET('Smelter Reference List'!$G$4,$S967-4,0))</f>
        <v/>
      </c>
      <c r="I967" s="294" t="str">
        <f ca="1">IF(ISERROR($S967),"",OFFSET('Smelter Reference List'!$H$4,$S967-4,0))</f>
        <v/>
      </c>
      <c r="J967" s="294" t="str">
        <f ca="1">IF(ISERROR($S967),"",OFFSET('Smelter Reference List'!$I$4,$S967-4,0))</f>
        <v/>
      </c>
      <c r="K967" s="295"/>
      <c r="L967" s="295"/>
      <c r="M967" s="295"/>
      <c r="N967" s="295"/>
      <c r="O967" s="295"/>
      <c r="P967" s="295"/>
      <c r="Q967" s="296"/>
      <c r="R967" s="227"/>
      <c r="S967" s="228" t="e">
        <f>IF(C967="",NA(),MATCH($B967&amp;$C967,'Smelter Reference List'!$J:$J,0))</f>
        <v>#N/A</v>
      </c>
      <c r="T967" s="229"/>
      <c r="U967" s="229">
        <f t="shared" ca="1" si="32"/>
        <v>0</v>
      </c>
      <c r="V967" s="229"/>
      <c r="W967" s="229"/>
      <c r="Y967" s="223" t="str">
        <f t="shared" si="33"/>
        <v/>
      </c>
    </row>
    <row r="968" spans="1:25" s="223" customFormat="1" ht="20.25">
      <c r="A968" s="291"/>
      <c r="B968" s="292" t="str">
        <f>IF(LEN(A968)=0,"",INDEX('Smelter Reference List'!$A:$A,MATCH($A968,'Smelter Reference List'!$E:$E,0)))</f>
        <v/>
      </c>
      <c r="C968" s="298" t="str">
        <f>IF(LEN(A968)=0,"",INDEX('Smelter Reference List'!$C:$C,MATCH($A968,'Smelter Reference List'!$E:$E,0)))</f>
        <v/>
      </c>
      <c r="D968" s="292" t="str">
        <f ca="1">IF(ISERROR($S968),"",OFFSET('Smelter Reference List'!$C$4,$S968-4,0)&amp;"")</f>
        <v/>
      </c>
      <c r="E968" s="292" t="str">
        <f ca="1">IF(ISERROR($S968),"",OFFSET('Smelter Reference List'!$D$4,$S968-4,0)&amp;"")</f>
        <v/>
      </c>
      <c r="F968" s="292" t="str">
        <f ca="1">IF(ISERROR($S968),"",OFFSET('Smelter Reference List'!$E$4,$S968-4,0))</f>
        <v/>
      </c>
      <c r="G968" s="292" t="str">
        <f ca="1">IF(C968=$U$4,"Enter smelter details", IF(ISERROR($S968),"",OFFSET('Smelter Reference List'!$F$4,$S968-4,0)))</f>
        <v/>
      </c>
      <c r="H968" s="293" t="str">
        <f ca="1">IF(ISERROR($S968),"",OFFSET('Smelter Reference List'!$G$4,$S968-4,0))</f>
        <v/>
      </c>
      <c r="I968" s="294" t="str">
        <f ca="1">IF(ISERROR($S968),"",OFFSET('Smelter Reference List'!$H$4,$S968-4,0))</f>
        <v/>
      </c>
      <c r="J968" s="294" t="str">
        <f ca="1">IF(ISERROR($S968),"",OFFSET('Smelter Reference List'!$I$4,$S968-4,0))</f>
        <v/>
      </c>
      <c r="K968" s="295"/>
      <c r="L968" s="295"/>
      <c r="M968" s="295"/>
      <c r="N968" s="295"/>
      <c r="O968" s="295"/>
      <c r="P968" s="295"/>
      <c r="Q968" s="296"/>
      <c r="R968" s="227"/>
      <c r="S968" s="228" t="e">
        <f>IF(C968="",NA(),MATCH($B968&amp;$C968,'Smelter Reference List'!$J:$J,0))</f>
        <v>#N/A</v>
      </c>
      <c r="T968" s="229"/>
      <c r="U968" s="229">
        <f t="shared" ca="1" si="32"/>
        <v>0</v>
      </c>
      <c r="V968" s="229"/>
      <c r="W968" s="229"/>
      <c r="Y968" s="223" t="str">
        <f t="shared" si="33"/>
        <v/>
      </c>
    </row>
    <row r="969" spans="1:25" s="223" customFormat="1" ht="20.25">
      <c r="A969" s="291"/>
      <c r="B969" s="292" t="str">
        <f>IF(LEN(A969)=0,"",INDEX('Smelter Reference List'!$A:$A,MATCH($A969,'Smelter Reference List'!$E:$E,0)))</f>
        <v/>
      </c>
      <c r="C969" s="298" t="str">
        <f>IF(LEN(A969)=0,"",INDEX('Smelter Reference List'!$C:$C,MATCH($A969,'Smelter Reference List'!$E:$E,0)))</f>
        <v/>
      </c>
      <c r="D969" s="292" t="str">
        <f ca="1">IF(ISERROR($S969),"",OFFSET('Smelter Reference List'!$C$4,$S969-4,0)&amp;"")</f>
        <v/>
      </c>
      <c r="E969" s="292" t="str">
        <f ca="1">IF(ISERROR($S969),"",OFFSET('Smelter Reference List'!$D$4,$S969-4,0)&amp;"")</f>
        <v/>
      </c>
      <c r="F969" s="292" t="str">
        <f ca="1">IF(ISERROR($S969),"",OFFSET('Smelter Reference List'!$E$4,$S969-4,0))</f>
        <v/>
      </c>
      <c r="G969" s="292" t="str">
        <f ca="1">IF(C969=$U$4,"Enter smelter details", IF(ISERROR($S969),"",OFFSET('Smelter Reference List'!$F$4,$S969-4,0)))</f>
        <v/>
      </c>
      <c r="H969" s="293" t="str">
        <f ca="1">IF(ISERROR($S969),"",OFFSET('Smelter Reference List'!$G$4,$S969-4,0))</f>
        <v/>
      </c>
      <c r="I969" s="294" t="str">
        <f ca="1">IF(ISERROR($S969),"",OFFSET('Smelter Reference List'!$H$4,$S969-4,0))</f>
        <v/>
      </c>
      <c r="J969" s="294" t="str">
        <f ca="1">IF(ISERROR($S969),"",OFFSET('Smelter Reference List'!$I$4,$S969-4,0))</f>
        <v/>
      </c>
      <c r="K969" s="295"/>
      <c r="L969" s="295"/>
      <c r="M969" s="295"/>
      <c r="N969" s="295"/>
      <c r="O969" s="295"/>
      <c r="P969" s="295"/>
      <c r="Q969" s="296"/>
      <c r="R969" s="227"/>
      <c r="S969" s="228" t="e">
        <f>IF(C969="",NA(),MATCH($B969&amp;$C969,'Smelter Reference List'!$J:$J,0))</f>
        <v>#N/A</v>
      </c>
      <c r="T969" s="229"/>
      <c r="U969" s="229">
        <f t="shared" ca="1" si="32"/>
        <v>0</v>
      </c>
      <c r="V969" s="229"/>
      <c r="W969" s="229"/>
      <c r="Y969" s="223" t="str">
        <f t="shared" si="33"/>
        <v/>
      </c>
    </row>
    <row r="970" spans="1:25" s="223" customFormat="1" ht="20.25">
      <c r="A970" s="291"/>
      <c r="B970" s="292" t="str">
        <f>IF(LEN(A970)=0,"",INDEX('Smelter Reference List'!$A:$A,MATCH($A970,'Smelter Reference List'!$E:$E,0)))</f>
        <v/>
      </c>
      <c r="C970" s="298" t="str">
        <f>IF(LEN(A970)=0,"",INDEX('Smelter Reference List'!$C:$C,MATCH($A970,'Smelter Reference List'!$E:$E,0)))</f>
        <v/>
      </c>
      <c r="D970" s="292" t="str">
        <f ca="1">IF(ISERROR($S970),"",OFFSET('Smelter Reference List'!$C$4,$S970-4,0)&amp;"")</f>
        <v/>
      </c>
      <c r="E970" s="292" t="str">
        <f ca="1">IF(ISERROR($S970),"",OFFSET('Smelter Reference List'!$D$4,$S970-4,0)&amp;"")</f>
        <v/>
      </c>
      <c r="F970" s="292" t="str">
        <f ca="1">IF(ISERROR($S970),"",OFFSET('Smelter Reference List'!$E$4,$S970-4,0))</f>
        <v/>
      </c>
      <c r="G970" s="292" t="str">
        <f ca="1">IF(C970=$U$4,"Enter smelter details", IF(ISERROR($S970),"",OFFSET('Smelter Reference List'!$F$4,$S970-4,0)))</f>
        <v/>
      </c>
      <c r="H970" s="293" t="str">
        <f ca="1">IF(ISERROR($S970),"",OFFSET('Smelter Reference List'!$G$4,$S970-4,0))</f>
        <v/>
      </c>
      <c r="I970" s="294" t="str">
        <f ca="1">IF(ISERROR($S970),"",OFFSET('Smelter Reference List'!$H$4,$S970-4,0))</f>
        <v/>
      </c>
      <c r="J970" s="294" t="str">
        <f ca="1">IF(ISERROR($S970),"",OFFSET('Smelter Reference List'!$I$4,$S970-4,0))</f>
        <v/>
      </c>
      <c r="K970" s="295"/>
      <c r="L970" s="295"/>
      <c r="M970" s="295"/>
      <c r="N970" s="295"/>
      <c r="O970" s="295"/>
      <c r="P970" s="295"/>
      <c r="Q970" s="296"/>
      <c r="R970" s="227"/>
      <c r="S970" s="228" t="e">
        <f>IF(C970="",NA(),MATCH($B970&amp;$C970,'Smelter Reference List'!$J:$J,0))</f>
        <v>#N/A</v>
      </c>
      <c r="T970" s="229"/>
      <c r="U970" s="229">
        <f t="shared" ca="1" si="32"/>
        <v>0</v>
      </c>
      <c r="V970" s="229"/>
      <c r="W970" s="229"/>
      <c r="Y970" s="223" t="str">
        <f t="shared" si="33"/>
        <v/>
      </c>
    </row>
    <row r="971" spans="1:25" s="223" customFormat="1" ht="20.25">
      <c r="A971" s="291"/>
      <c r="B971" s="292" t="str">
        <f>IF(LEN(A971)=0,"",INDEX('Smelter Reference List'!$A:$A,MATCH($A971,'Smelter Reference List'!$E:$E,0)))</f>
        <v/>
      </c>
      <c r="C971" s="298" t="str">
        <f>IF(LEN(A971)=0,"",INDEX('Smelter Reference List'!$C:$C,MATCH($A971,'Smelter Reference List'!$E:$E,0)))</f>
        <v/>
      </c>
      <c r="D971" s="292" t="str">
        <f ca="1">IF(ISERROR($S971),"",OFFSET('Smelter Reference List'!$C$4,$S971-4,0)&amp;"")</f>
        <v/>
      </c>
      <c r="E971" s="292" t="str">
        <f ca="1">IF(ISERROR($S971),"",OFFSET('Smelter Reference List'!$D$4,$S971-4,0)&amp;"")</f>
        <v/>
      </c>
      <c r="F971" s="292" t="str">
        <f ca="1">IF(ISERROR($S971),"",OFFSET('Smelter Reference List'!$E$4,$S971-4,0))</f>
        <v/>
      </c>
      <c r="G971" s="292" t="str">
        <f ca="1">IF(C971=$U$4,"Enter smelter details", IF(ISERROR($S971),"",OFFSET('Smelter Reference List'!$F$4,$S971-4,0)))</f>
        <v/>
      </c>
      <c r="H971" s="293" t="str">
        <f ca="1">IF(ISERROR($S971),"",OFFSET('Smelter Reference List'!$G$4,$S971-4,0))</f>
        <v/>
      </c>
      <c r="I971" s="294" t="str">
        <f ca="1">IF(ISERROR($S971),"",OFFSET('Smelter Reference List'!$H$4,$S971-4,0))</f>
        <v/>
      </c>
      <c r="J971" s="294" t="str">
        <f ca="1">IF(ISERROR($S971),"",OFFSET('Smelter Reference List'!$I$4,$S971-4,0))</f>
        <v/>
      </c>
      <c r="K971" s="295"/>
      <c r="L971" s="295"/>
      <c r="M971" s="295"/>
      <c r="N971" s="295"/>
      <c r="O971" s="295"/>
      <c r="P971" s="295"/>
      <c r="Q971" s="296"/>
      <c r="R971" s="227"/>
      <c r="S971" s="228" t="e">
        <f>IF(C971="",NA(),MATCH($B971&amp;$C971,'Smelter Reference List'!$J:$J,0))</f>
        <v>#N/A</v>
      </c>
      <c r="T971" s="229"/>
      <c r="U971" s="229">
        <f t="shared" ca="1" si="32"/>
        <v>0</v>
      </c>
      <c r="V971" s="229"/>
      <c r="W971" s="229"/>
      <c r="Y971" s="223" t="str">
        <f t="shared" si="33"/>
        <v/>
      </c>
    </row>
    <row r="972" spans="1:25" s="223" customFormat="1" ht="20.25">
      <c r="A972" s="291"/>
      <c r="B972" s="292" t="str">
        <f>IF(LEN(A972)=0,"",INDEX('Smelter Reference List'!$A:$A,MATCH($A972,'Smelter Reference List'!$E:$E,0)))</f>
        <v/>
      </c>
      <c r="C972" s="298" t="str">
        <f>IF(LEN(A972)=0,"",INDEX('Smelter Reference List'!$C:$C,MATCH($A972,'Smelter Reference List'!$E:$E,0)))</f>
        <v/>
      </c>
      <c r="D972" s="292" t="str">
        <f ca="1">IF(ISERROR($S972),"",OFFSET('Smelter Reference List'!$C$4,$S972-4,0)&amp;"")</f>
        <v/>
      </c>
      <c r="E972" s="292" t="str">
        <f ca="1">IF(ISERROR($S972),"",OFFSET('Smelter Reference List'!$D$4,$S972-4,0)&amp;"")</f>
        <v/>
      </c>
      <c r="F972" s="292" t="str">
        <f ca="1">IF(ISERROR($S972),"",OFFSET('Smelter Reference List'!$E$4,$S972-4,0))</f>
        <v/>
      </c>
      <c r="G972" s="292" t="str">
        <f ca="1">IF(C972=$U$4,"Enter smelter details", IF(ISERROR($S972),"",OFFSET('Smelter Reference List'!$F$4,$S972-4,0)))</f>
        <v/>
      </c>
      <c r="H972" s="293" t="str">
        <f ca="1">IF(ISERROR($S972),"",OFFSET('Smelter Reference List'!$G$4,$S972-4,0))</f>
        <v/>
      </c>
      <c r="I972" s="294" t="str">
        <f ca="1">IF(ISERROR($S972),"",OFFSET('Smelter Reference List'!$H$4,$S972-4,0))</f>
        <v/>
      </c>
      <c r="J972" s="294" t="str">
        <f ca="1">IF(ISERROR($S972),"",OFFSET('Smelter Reference List'!$I$4,$S972-4,0))</f>
        <v/>
      </c>
      <c r="K972" s="295"/>
      <c r="L972" s="295"/>
      <c r="M972" s="295"/>
      <c r="N972" s="295"/>
      <c r="O972" s="295"/>
      <c r="P972" s="295"/>
      <c r="Q972" s="296"/>
      <c r="R972" s="227"/>
      <c r="S972" s="228" t="e">
        <f>IF(C972="",NA(),MATCH($B972&amp;$C972,'Smelter Reference List'!$J:$J,0))</f>
        <v>#N/A</v>
      </c>
      <c r="T972" s="229"/>
      <c r="U972" s="229">
        <f t="shared" ca="1" si="32"/>
        <v>0</v>
      </c>
      <c r="V972" s="229"/>
      <c r="W972" s="229"/>
      <c r="Y972" s="223" t="str">
        <f t="shared" si="33"/>
        <v/>
      </c>
    </row>
    <row r="973" spans="1:25" s="223" customFormat="1" ht="20.25">
      <c r="A973" s="291"/>
      <c r="B973" s="292" t="str">
        <f>IF(LEN(A973)=0,"",INDEX('Smelter Reference List'!$A:$A,MATCH($A973,'Smelter Reference List'!$E:$E,0)))</f>
        <v/>
      </c>
      <c r="C973" s="298" t="str">
        <f>IF(LEN(A973)=0,"",INDEX('Smelter Reference List'!$C:$C,MATCH($A973,'Smelter Reference List'!$E:$E,0)))</f>
        <v/>
      </c>
      <c r="D973" s="292" t="str">
        <f ca="1">IF(ISERROR($S973),"",OFFSET('Smelter Reference List'!$C$4,$S973-4,0)&amp;"")</f>
        <v/>
      </c>
      <c r="E973" s="292" t="str">
        <f ca="1">IF(ISERROR($S973),"",OFFSET('Smelter Reference List'!$D$4,$S973-4,0)&amp;"")</f>
        <v/>
      </c>
      <c r="F973" s="292" t="str">
        <f ca="1">IF(ISERROR($S973),"",OFFSET('Smelter Reference List'!$E$4,$S973-4,0))</f>
        <v/>
      </c>
      <c r="G973" s="292" t="str">
        <f ca="1">IF(C973=$U$4,"Enter smelter details", IF(ISERROR($S973),"",OFFSET('Smelter Reference List'!$F$4,$S973-4,0)))</f>
        <v/>
      </c>
      <c r="H973" s="293" t="str">
        <f ca="1">IF(ISERROR($S973),"",OFFSET('Smelter Reference List'!$G$4,$S973-4,0))</f>
        <v/>
      </c>
      <c r="I973" s="294" t="str">
        <f ca="1">IF(ISERROR($S973),"",OFFSET('Smelter Reference List'!$H$4,$S973-4,0))</f>
        <v/>
      </c>
      <c r="J973" s="294" t="str">
        <f ca="1">IF(ISERROR($S973),"",OFFSET('Smelter Reference List'!$I$4,$S973-4,0))</f>
        <v/>
      </c>
      <c r="K973" s="295"/>
      <c r="L973" s="295"/>
      <c r="M973" s="295"/>
      <c r="N973" s="295"/>
      <c r="O973" s="295"/>
      <c r="P973" s="295"/>
      <c r="Q973" s="296"/>
      <c r="R973" s="227"/>
      <c r="S973" s="228" t="e">
        <f>IF(C973="",NA(),MATCH($B973&amp;$C973,'Smelter Reference List'!$J:$J,0))</f>
        <v>#N/A</v>
      </c>
      <c r="T973" s="229"/>
      <c r="U973" s="229">
        <f t="shared" ca="1" si="32"/>
        <v>0</v>
      </c>
      <c r="V973" s="229"/>
      <c r="W973" s="229"/>
      <c r="Y973" s="223" t="str">
        <f t="shared" si="33"/>
        <v/>
      </c>
    </row>
    <row r="974" spans="1:25" s="223" customFormat="1" ht="20.25">
      <c r="A974" s="291"/>
      <c r="B974" s="292" t="str">
        <f>IF(LEN(A974)=0,"",INDEX('Smelter Reference List'!$A:$A,MATCH($A974,'Smelter Reference List'!$E:$E,0)))</f>
        <v/>
      </c>
      <c r="C974" s="298" t="str">
        <f>IF(LEN(A974)=0,"",INDEX('Smelter Reference List'!$C:$C,MATCH($A974,'Smelter Reference List'!$E:$E,0)))</f>
        <v/>
      </c>
      <c r="D974" s="292" t="str">
        <f ca="1">IF(ISERROR($S974),"",OFFSET('Smelter Reference List'!$C$4,$S974-4,0)&amp;"")</f>
        <v/>
      </c>
      <c r="E974" s="292" t="str">
        <f ca="1">IF(ISERROR($S974),"",OFFSET('Smelter Reference List'!$D$4,$S974-4,0)&amp;"")</f>
        <v/>
      </c>
      <c r="F974" s="292" t="str">
        <f ca="1">IF(ISERROR($S974),"",OFFSET('Smelter Reference List'!$E$4,$S974-4,0))</f>
        <v/>
      </c>
      <c r="G974" s="292" t="str">
        <f ca="1">IF(C974=$U$4,"Enter smelter details", IF(ISERROR($S974),"",OFFSET('Smelter Reference List'!$F$4,$S974-4,0)))</f>
        <v/>
      </c>
      <c r="H974" s="293" t="str">
        <f ca="1">IF(ISERROR($S974),"",OFFSET('Smelter Reference List'!$G$4,$S974-4,0))</f>
        <v/>
      </c>
      <c r="I974" s="294" t="str">
        <f ca="1">IF(ISERROR($S974),"",OFFSET('Smelter Reference List'!$H$4,$S974-4,0))</f>
        <v/>
      </c>
      <c r="J974" s="294" t="str">
        <f ca="1">IF(ISERROR($S974),"",OFFSET('Smelter Reference List'!$I$4,$S974-4,0))</f>
        <v/>
      </c>
      <c r="K974" s="295"/>
      <c r="L974" s="295"/>
      <c r="M974" s="295"/>
      <c r="N974" s="295"/>
      <c r="O974" s="295"/>
      <c r="P974" s="295"/>
      <c r="Q974" s="296"/>
      <c r="R974" s="227"/>
      <c r="S974" s="228" t="e">
        <f>IF(C974="",NA(),MATCH($B974&amp;$C974,'Smelter Reference List'!$J:$J,0))</f>
        <v>#N/A</v>
      </c>
      <c r="T974" s="229"/>
      <c r="U974" s="229">
        <f t="shared" ca="1" si="32"/>
        <v>0</v>
      </c>
      <c r="V974" s="229"/>
      <c r="W974" s="229"/>
      <c r="Y974" s="223" t="str">
        <f t="shared" si="33"/>
        <v/>
      </c>
    </row>
    <row r="975" spans="1:25" s="223" customFormat="1" ht="20.25">
      <c r="A975" s="291"/>
      <c r="B975" s="292" t="str">
        <f>IF(LEN(A975)=0,"",INDEX('Smelter Reference List'!$A:$A,MATCH($A975,'Smelter Reference List'!$E:$E,0)))</f>
        <v/>
      </c>
      <c r="C975" s="298" t="str">
        <f>IF(LEN(A975)=0,"",INDEX('Smelter Reference List'!$C:$C,MATCH($A975,'Smelter Reference List'!$E:$E,0)))</f>
        <v/>
      </c>
      <c r="D975" s="292" t="str">
        <f ca="1">IF(ISERROR($S975),"",OFFSET('Smelter Reference List'!$C$4,$S975-4,0)&amp;"")</f>
        <v/>
      </c>
      <c r="E975" s="292" t="str">
        <f ca="1">IF(ISERROR($S975),"",OFFSET('Smelter Reference List'!$D$4,$S975-4,0)&amp;"")</f>
        <v/>
      </c>
      <c r="F975" s="292" t="str">
        <f ca="1">IF(ISERROR($S975),"",OFFSET('Smelter Reference List'!$E$4,$S975-4,0))</f>
        <v/>
      </c>
      <c r="G975" s="292" t="str">
        <f ca="1">IF(C975=$U$4,"Enter smelter details", IF(ISERROR($S975),"",OFFSET('Smelter Reference List'!$F$4,$S975-4,0)))</f>
        <v/>
      </c>
      <c r="H975" s="293" t="str">
        <f ca="1">IF(ISERROR($S975),"",OFFSET('Smelter Reference List'!$G$4,$S975-4,0))</f>
        <v/>
      </c>
      <c r="I975" s="294" t="str">
        <f ca="1">IF(ISERROR($S975),"",OFFSET('Smelter Reference List'!$H$4,$S975-4,0))</f>
        <v/>
      </c>
      <c r="J975" s="294" t="str">
        <f ca="1">IF(ISERROR($S975),"",OFFSET('Smelter Reference List'!$I$4,$S975-4,0))</f>
        <v/>
      </c>
      <c r="K975" s="295"/>
      <c r="L975" s="295"/>
      <c r="M975" s="295"/>
      <c r="N975" s="295"/>
      <c r="O975" s="295"/>
      <c r="P975" s="295"/>
      <c r="Q975" s="296"/>
      <c r="R975" s="227"/>
      <c r="S975" s="228" t="e">
        <f>IF(C975="",NA(),MATCH($B975&amp;$C975,'Smelter Reference List'!$J:$J,0))</f>
        <v>#N/A</v>
      </c>
      <c r="T975" s="229"/>
      <c r="U975" s="229">
        <f t="shared" ca="1" si="32"/>
        <v>0</v>
      </c>
      <c r="V975" s="229"/>
      <c r="W975" s="229"/>
      <c r="Y975" s="223" t="str">
        <f t="shared" si="33"/>
        <v/>
      </c>
    </row>
    <row r="976" spans="1:25" s="223" customFormat="1" ht="20.25">
      <c r="A976" s="291"/>
      <c r="B976" s="292" t="str">
        <f>IF(LEN(A976)=0,"",INDEX('Smelter Reference List'!$A:$A,MATCH($A976,'Smelter Reference List'!$E:$E,0)))</f>
        <v/>
      </c>
      <c r="C976" s="298" t="str">
        <f>IF(LEN(A976)=0,"",INDEX('Smelter Reference List'!$C:$C,MATCH($A976,'Smelter Reference List'!$E:$E,0)))</f>
        <v/>
      </c>
      <c r="D976" s="292" t="str">
        <f ca="1">IF(ISERROR($S976),"",OFFSET('Smelter Reference List'!$C$4,$S976-4,0)&amp;"")</f>
        <v/>
      </c>
      <c r="E976" s="292" t="str">
        <f ca="1">IF(ISERROR($S976),"",OFFSET('Smelter Reference List'!$D$4,$S976-4,0)&amp;"")</f>
        <v/>
      </c>
      <c r="F976" s="292" t="str">
        <f ca="1">IF(ISERROR($S976),"",OFFSET('Smelter Reference List'!$E$4,$S976-4,0))</f>
        <v/>
      </c>
      <c r="G976" s="292" t="str">
        <f ca="1">IF(C976=$U$4,"Enter smelter details", IF(ISERROR($S976),"",OFFSET('Smelter Reference List'!$F$4,$S976-4,0)))</f>
        <v/>
      </c>
      <c r="H976" s="293" t="str">
        <f ca="1">IF(ISERROR($S976),"",OFFSET('Smelter Reference List'!$G$4,$S976-4,0))</f>
        <v/>
      </c>
      <c r="I976" s="294" t="str">
        <f ca="1">IF(ISERROR($S976),"",OFFSET('Smelter Reference List'!$H$4,$S976-4,0))</f>
        <v/>
      </c>
      <c r="J976" s="294" t="str">
        <f ca="1">IF(ISERROR($S976),"",OFFSET('Smelter Reference List'!$I$4,$S976-4,0))</f>
        <v/>
      </c>
      <c r="K976" s="295"/>
      <c r="L976" s="295"/>
      <c r="M976" s="295"/>
      <c r="N976" s="295"/>
      <c r="O976" s="295"/>
      <c r="P976" s="295"/>
      <c r="Q976" s="296"/>
      <c r="R976" s="227"/>
      <c r="S976" s="228" t="e">
        <f>IF(C976="",NA(),MATCH($B976&amp;$C976,'Smelter Reference List'!$J:$J,0))</f>
        <v>#N/A</v>
      </c>
      <c r="T976" s="229"/>
      <c r="U976" s="229">
        <f t="shared" ca="1" si="32"/>
        <v>0</v>
      </c>
      <c r="V976" s="229"/>
      <c r="W976" s="229"/>
      <c r="Y976" s="223" t="str">
        <f t="shared" si="33"/>
        <v/>
      </c>
    </row>
    <row r="977" spans="1:25" s="223" customFormat="1" ht="20.25">
      <c r="A977" s="291"/>
      <c r="B977" s="292" t="str">
        <f>IF(LEN(A977)=0,"",INDEX('Smelter Reference List'!$A:$A,MATCH($A977,'Smelter Reference List'!$E:$E,0)))</f>
        <v/>
      </c>
      <c r="C977" s="298" t="str">
        <f>IF(LEN(A977)=0,"",INDEX('Smelter Reference List'!$C:$C,MATCH($A977,'Smelter Reference List'!$E:$E,0)))</f>
        <v/>
      </c>
      <c r="D977" s="292" t="str">
        <f ca="1">IF(ISERROR($S977),"",OFFSET('Smelter Reference List'!$C$4,$S977-4,0)&amp;"")</f>
        <v/>
      </c>
      <c r="E977" s="292" t="str">
        <f ca="1">IF(ISERROR($S977),"",OFFSET('Smelter Reference List'!$D$4,$S977-4,0)&amp;"")</f>
        <v/>
      </c>
      <c r="F977" s="292" t="str">
        <f ca="1">IF(ISERROR($S977),"",OFFSET('Smelter Reference List'!$E$4,$S977-4,0))</f>
        <v/>
      </c>
      <c r="G977" s="292" t="str">
        <f ca="1">IF(C977=$U$4,"Enter smelter details", IF(ISERROR($S977),"",OFFSET('Smelter Reference List'!$F$4,$S977-4,0)))</f>
        <v/>
      </c>
      <c r="H977" s="293" t="str">
        <f ca="1">IF(ISERROR($S977),"",OFFSET('Smelter Reference List'!$G$4,$S977-4,0))</f>
        <v/>
      </c>
      <c r="I977" s="294" t="str">
        <f ca="1">IF(ISERROR($S977),"",OFFSET('Smelter Reference List'!$H$4,$S977-4,0))</f>
        <v/>
      </c>
      <c r="J977" s="294" t="str">
        <f ca="1">IF(ISERROR($S977),"",OFFSET('Smelter Reference List'!$I$4,$S977-4,0))</f>
        <v/>
      </c>
      <c r="K977" s="295"/>
      <c r="L977" s="295"/>
      <c r="M977" s="295"/>
      <c r="N977" s="295"/>
      <c r="O977" s="295"/>
      <c r="P977" s="295"/>
      <c r="Q977" s="296"/>
      <c r="R977" s="227"/>
      <c r="S977" s="228" t="e">
        <f>IF(C977="",NA(),MATCH($B977&amp;$C977,'Smelter Reference List'!$J:$J,0))</f>
        <v>#N/A</v>
      </c>
      <c r="T977" s="229"/>
      <c r="U977" s="229">
        <f t="shared" ca="1" si="32"/>
        <v>0</v>
      </c>
      <c r="V977" s="229"/>
      <c r="W977" s="229"/>
      <c r="Y977" s="223" t="str">
        <f t="shared" si="33"/>
        <v/>
      </c>
    </row>
    <row r="978" spans="1:25" s="223" customFormat="1" ht="20.25">
      <c r="A978" s="291"/>
      <c r="B978" s="292" t="str">
        <f>IF(LEN(A978)=0,"",INDEX('Smelter Reference List'!$A:$A,MATCH($A978,'Smelter Reference List'!$E:$E,0)))</f>
        <v/>
      </c>
      <c r="C978" s="298" t="str">
        <f>IF(LEN(A978)=0,"",INDEX('Smelter Reference List'!$C:$C,MATCH($A978,'Smelter Reference List'!$E:$E,0)))</f>
        <v/>
      </c>
      <c r="D978" s="292" t="str">
        <f ca="1">IF(ISERROR($S978),"",OFFSET('Smelter Reference List'!$C$4,$S978-4,0)&amp;"")</f>
        <v/>
      </c>
      <c r="E978" s="292" t="str">
        <f ca="1">IF(ISERROR($S978),"",OFFSET('Smelter Reference List'!$D$4,$S978-4,0)&amp;"")</f>
        <v/>
      </c>
      <c r="F978" s="292" t="str">
        <f ca="1">IF(ISERROR($S978),"",OFFSET('Smelter Reference List'!$E$4,$S978-4,0))</f>
        <v/>
      </c>
      <c r="G978" s="292" t="str">
        <f ca="1">IF(C978=$U$4,"Enter smelter details", IF(ISERROR($S978),"",OFFSET('Smelter Reference List'!$F$4,$S978-4,0)))</f>
        <v/>
      </c>
      <c r="H978" s="293" t="str">
        <f ca="1">IF(ISERROR($S978),"",OFFSET('Smelter Reference List'!$G$4,$S978-4,0))</f>
        <v/>
      </c>
      <c r="I978" s="294" t="str">
        <f ca="1">IF(ISERROR($S978),"",OFFSET('Smelter Reference List'!$H$4,$S978-4,0))</f>
        <v/>
      </c>
      <c r="J978" s="294" t="str">
        <f ca="1">IF(ISERROR($S978),"",OFFSET('Smelter Reference List'!$I$4,$S978-4,0))</f>
        <v/>
      </c>
      <c r="K978" s="295"/>
      <c r="L978" s="295"/>
      <c r="M978" s="295"/>
      <c r="N978" s="295"/>
      <c r="O978" s="295"/>
      <c r="P978" s="295"/>
      <c r="Q978" s="296"/>
      <c r="R978" s="227"/>
      <c r="S978" s="228" t="e">
        <f>IF(C978="",NA(),MATCH($B978&amp;$C978,'Smelter Reference List'!$J:$J,0))</f>
        <v>#N/A</v>
      </c>
      <c r="T978" s="229"/>
      <c r="U978" s="229">
        <f t="shared" ca="1" si="32"/>
        <v>0</v>
      </c>
      <c r="V978" s="229"/>
      <c r="W978" s="229"/>
      <c r="Y978" s="223" t="str">
        <f t="shared" si="33"/>
        <v/>
      </c>
    </row>
    <row r="979" spans="1:25" s="223" customFormat="1" ht="20.25">
      <c r="A979" s="291"/>
      <c r="B979" s="292" t="str">
        <f>IF(LEN(A979)=0,"",INDEX('Smelter Reference List'!$A:$A,MATCH($A979,'Smelter Reference List'!$E:$E,0)))</f>
        <v/>
      </c>
      <c r="C979" s="298" t="str">
        <f>IF(LEN(A979)=0,"",INDEX('Smelter Reference List'!$C:$C,MATCH($A979,'Smelter Reference List'!$E:$E,0)))</f>
        <v/>
      </c>
      <c r="D979" s="292" t="str">
        <f ca="1">IF(ISERROR($S979),"",OFFSET('Smelter Reference List'!$C$4,$S979-4,0)&amp;"")</f>
        <v/>
      </c>
      <c r="E979" s="292" t="str">
        <f ca="1">IF(ISERROR($S979),"",OFFSET('Smelter Reference List'!$D$4,$S979-4,0)&amp;"")</f>
        <v/>
      </c>
      <c r="F979" s="292" t="str">
        <f ca="1">IF(ISERROR($S979),"",OFFSET('Smelter Reference List'!$E$4,$S979-4,0))</f>
        <v/>
      </c>
      <c r="G979" s="292" t="str">
        <f ca="1">IF(C979=$U$4,"Enter smelter details", IF(ISERROR($S979),"",OFFSET('Smelter Reference List'!$F$4,$S979-4,0)))</f>
        <v/>
      </c>
      <c r="H979" s="293" t="str">
        <f ca="1">IF(ISERROR($S979),"",OFFSET('Smelter Reference List'!$G$4,$S979-4,0))</f>
        <v/>
      </c>
      <c r="I979" s="294" t="str">
        <f ca="1">IF(ISERROR($S979),"",OFFSET('Smelter Reference List'!$H$4,$S979-4,0))</f>
        <v/>
      </c>
      <c r="J979" s="294" t="str">
        <f ca="1">IF(ISERROR($S979),"",OFFSET('Smelter Reference List'!$I$4,$S979-4,0))</f>
        <v/>
      </c>
      <c r="K979" s="295"/>
      <c r="L979" s="295"/>
      <c r="M979" s="295"/>
      <c r="N979" s="295"/>
      <c r="O979" s="295"/>
      <c r="P979" s="295"/>
      <c r="Q979" s="296"/>
      <c r="R979" s="227"/>
      <c r="S979" s="228" t="e">
        <f>IF(C979="",NA(),MATCH($B979&amp;$C979,'Smelter Reference List'!$J:$J,0))</f>
        <v>#N/A</v>
      </c>
      <c r="T979" s="229"/>
      <c r="U979" s="229">
        <f t="shared" ca="1" si="32"/>
        <v>0</v>
      </c>
      <c r="V979" s="229"/>
      <c r="W979" s="229"/>
      <c r="Y979" s="223" t="str">
        <f t="shared" si="33"/>
        <v/>
      </c>
    </row>
    <row r="980" spans="1:25" s="223" customFormat="1" ht="20.25">
      <c r="A980" s="291"/>
      <c r="B980" s="292" t="str">
        <f>IF(LEN(A980)=0,"",INDEX('Smelter Reference List'!$A:$A,MATCH($A980,'Smelter Reference List'!$E:$E,0)))</f>
        <v/>
      </c>
      <c r="C980" s="298" t="str">
        <f>IF(LEN(A980)=0,"",INDEX('Smelter Reference List'!$C:$C,MATCH($A980,'Smelter Reference List'!$E:$E,0)))</f>
        <v/>
      </c>
      <c r="D980" s="292" t="str">
        <f ca="1">IF(ISERROR($S980),"",OFFSET('Smelter Reference List'!$C$4,$S980-4,0)&amp;"")</f>
        <v/>
      </c>
      <c r="E980" s="292" t="str">
        <f ca="1">IF(ISERROR($S980),"",OFFSET('Smelter Reference List'!$D$4,$S980-4,0)&amp;"")</f>
        <v/>
      </c>
      <c r="F980" s="292" t="str">
        <f ca="1">IF(ISERROR($S980),"",OFFSET('Smelter Reference List'!$E$4,$S980-4,0))</f>
        <v/>
      </c>
      <c r="G980" s="292" t="str">
        <f ca="1">IF(C980=$U$4,"Enter smelter details", IF(ISERROR($S980),"",OFFSET('Smelter Reference List'!$F$4,$S980-4,0)))</f>
        <v/>
      </c>
      <c r="H980" s="293" t="str">
        <f ca="1">IF(ISERROR($S980),"",OFFSET('Smelter Reference List'!$G$4,$S980-4,0))</f>
        <v/>
      </c>
      <c r="I980" s="294" t="str">
        <f ca="1">IF(ISERROR($S980),"",OFFSET('Smelter Reference List'!$H$4,$S980-4,0))</f>
        <v/>
      </c>
      <c r="J980" s="294" t="str">
        <f ca="1">IF(ISERROR($S980),"",OFFSET('Smelter Reference List'!$I$4,$S980-4,0))</f>
        <v/>
      </c>
      <c r="K980" s="295"/>
      <c r="L980" s="295"/>
      <c r="M980" s="295"/>
      <c r="N980" s="295"/>
      <c r="O980" s="295"/>
      <c r="P980" s="295"/>
      <c r="Q980" s="296"/>
      <c r="R980" s="227"/>
      <c r="S980" s="228" t="e">
        <f>IF(C980="",NA(),MATCH($B980&amp;$C980,'Smelter Reference List'!$J:$J,0))</f>
        <v>#N/A</v>
      </c>
      <c r="T980" s="229"/>
      <c r="U980" s="229">
        <f t="shared" ca="1" si="32"/>
        <v>0</v>
      </c>
      <c r="V980" s="229"/>
      <c r="W980" s="229"/>
      <c r="Y980" s="223" t="str">
        <f t="shared" si="33"/>
        <v/>
      </c>
    </row>
    <row r="981" spans="1:25" s="223" customFormat="1" ht="20.25">
      <c r="A981" s="291"/>
      <c r="B981" s="292" t="str">
        <f>IF(LEN(A981)=0,"",INDEX('Smelter Reference List'!$A:$A,MATCH($A981,'Smelter Reference List'!$E:$E,0)))</f>
        <v/>
      </c>
      <c r="C981" s="298" t="str">
        <f>IF(LEN(A981)=0,"",INDEX('Smelter Reference List'!$C:$C,MATCH($A981,'Smelter Reference List'!$E:$E,0)))</f>
        <v/>
      </c>
      <c r="D981" s="292" t="str">
        <f ca="1">IF(ISERROR($S981),"",OFFSET('Smelter Reference List'!$C$4,$S981-4,0)&amp;"")</f>
        <v/>
      </c>
      <c r="E981" s="292" t="str">
        <f ca="1">IF(ISERROR($S981),"",OFFSET('Smelter Reference List'!$D$4,$S981-4,0)&amp;"")</f>
        <v/>
      </c>
      <c r="F981" s="292" t="str">
        <f ca="1">IF(ISERROR($S981),"",OFFSET('Smelter Reference List'!$E$4,$S981-4,0))</f>
        <v/>
      </c>
      <c r="G981" s="292" t="str">
        <f ca="1">IF(C981=$U$4,"Enter smelter details", IF(ISERROR($S981),"",OFFSET('Smelter Reference List'!$F$4,$S981-4,0)))</f>
        <v/>
      </c>
      <c r="H981" s="293" t="str">
        <f ca="1">IF(ISERROR($S981),"",OFFSET('Smelter Reference List'!$G$4,$S981-4,0))</f>
        <v/>
      </c>
      <c r="I981" s="294" t="str">
        <f ca="1">IF(ISERROR($S981),"",OFFSET('Smelter Reference List'!$H$4,$S981-4,0))</f>
        <v/>
      </c>
      <c r="J981" s="294" t="str">
        <f ca="1">IF(ISERROR($S981),"",OFFSET('Smelter Reference List'!$I$4,$S981-4,0))</f>
        <v/>
      </c>
      <c r="K981" s="295"/>
      <c r="L981" s="295"/>
      <c r="M981" s="295"/>
      <c r="N981" s="295"/>
      <c r="O981" s="295"/>
      <c r="P981" s="295"/>
      <c r="Q981" s="296"/>
      <c r="R981" s="227"/>
      <c r="S981" s="228" t="e">
        <f>IF(C981="",NA(),MATCH($B981&amp;$C981,'Smelter Reference List'!$J:$J,0))</f>
        <v>#N/A</v>
      </c>
      <c r="T981" s="229"/>
      <c r="U981" s="229">
        <f t="shared" ca="1" si="32"/>
        <v>0</v>
      </c>
      <c r="V981" s="229"/>
      <c r="W981" s="229"/>
      <c r="Y981" s="223" t="str">
        <f t="shared" si="33"/>
        <v/>
      </c>
    </row>
    <row r="982" spans="1:25" s="223" customFormat="1" ht="20.25">
      <c r="A982" s="291"/>
      <c r="B982" s="292" t="str">
        <f>IF(LEN(A982)=0,"",INDEX('Smelter Reference List'!$A:$A,MATCH($A982,'Smelter Reference List'!$E:$E,0)))</f>
        <v/>
      </c>
      <c r="C982" s="298" t="str">
        <f>IF(LEN(A982)=0,"",INDEX('Smelter Reference List'!$C:$C,MATCH($A982,'Smelter Reference List'!$E:$E,0)))</f>
        <v/>
      </c>
      <c r="D982" s="292" t="str">
        <f ca="1">IF(ISERROR($S982),"",OFFSET('Smelter Reference List'!$C$4,$S982-4,0)&amp;"")</f>
        <v/>
      </c>
      <c r="E982" s="292" t="str">
        <f ca="1">IF(ISERROR($S982),"",OFFSET('Smelter Reference List'!$D$4,$S982-4,0)&amp;"")</f>
        <v/>
      </c>
      <c r="F982" s="292" t="str">
        <f ca="1">IF(ISERROR($S982),"",OFFSET('Smelter Reference List'!$E$4,$S982-4,0))</f>
        <v/>
      </c>
      <c r="G982" s="292" t="str">
        <f ca="1">IF(C982=$U$4,"Enter smelter details", IF(ISERROR($S982),"",OFFSET('Smelter Reference List'!$F$4,$S982-4,0)))</f>
        <v/>
      </c>
      <c r="H982" s="293" t="str">
        <f ca="1">IF(ISERROR($S982),"",OFFSET('Smelter Reference List'!$G$4,$S982-4,0))</f>
        <v/>
      </c>
      <c r="I982" s="294" t="str">
        <f ca="1">IF(ISERROR($S982),"",OFFSET('Smelter Reference List'!$H$4,$S982-4,0))</f>
        <v/>
      </c>
      <c r="J982" s="294" t="str">
        <f ca="1">IF(ISERROR($S982),"",OFFSET('Smelter Reference List'!$I$4,$S982-4,0))</f>
        <v/>
      </c>
      <c r="K982" s="295"/>
      <c r="L982" s="295"/>
      <c r="M982" s="295"/>
      <c r="N982" s="295"/>
      <c r="O982" s="295"/>
      <c r="P982" s="295"/>
      <c r="Q982" s="296"/>
      <c r="R982" s="227"/>
      <c r="S982" s="228" t="e">
        <f>IF(C982="",NA(),MATCH($B982&amp;$C982,'Smelter Reference List'!$J:$J,0))</f>
        <v>#N/A</v>
      </c>
      <c r="T982" s="229"/>
      <c r="U982" s="229">
        <f t="shared" ca="1" si="32"/>
        <v>0</v>
      </c>
      <c r="V982" s="229"/>
      <c r="W982" s="229"/>
      <c r="Y982" s="223" t="str">
        <f t="shared" si="33"/>
        <v/>
      </c>
    </row>
    <row r="983" spans="1:25" s="223" customFormat="1" ht="20.25">
      <c r="A983" s="291"/>
      <c r="B983" s="292" t="str">
        <f>IF(LEN(A983)=0,"",INDEX('Smelter Reference List'!$A:$A,MATCH($A983,'Smelter Reference List'!$E:$E,0)))</f>
        <v/>
      </c>
      <c r="C983" s="298" t="str">
        <f>IF(LEN(A983)=0,"",INDEX('Smelter Reference List'!$C:$C,MATCH($A983,'Smelter Reference List'!$E:$E,0)))</f>
        <v/>
      </c>
      <c r="D983" s="292" t="str">
        <f ca="1">IF(ISERROR($S983),"",OFFSET('Smelter Reference List'!$C$4,$S983-4,0)&amp;"")</f>
        <v/>
      </c>
      <c r="E983" s="292" t="str">
        <f ca="1">IF(ISERROR($S983),"",OFFSET('Smelter Reference List'!$D$4,$S983-4,0)&amp;"")</f>
        <v/>
      </c>
      <c r="F983" s="292" t="str">
        <f ca="1">IF(ISERROR($S983),"",OFFSET('Smelter Reference List'!$E$4,$S983-4,0))</f>
        <v/>
      </c>
      <c r="G983" s="292" t="str">
        <f ca="1">IF(C983=$U$4,"Enter smelter details", IF(ISERROR($S983),"",OFFSET('Smelter Reference List'!$F$4,$S983-4,0)))</f>
        <v/>
      </c>
      <c r="H983" s="293" t="str">
        <f ca="1">IF(ISERROR($S983),"",OFFSET('Smelter Reference List'!$G$4,$S983-4,0))</f>
        <v/>
      </c>
      <c r="I983" s="294" t="str">
        <f ca="1">IF(ISERROR($S983),"",OFFSET('Smelter Reference List'!$H$4,$S983-4,0))</f>
        <v/>
      </c>
      <c r="J983" s="294" t="str">
        <f ca="1">IF(ISERROR($S983),"",OFFSET('Smelter Reference List'!$I$4,$S983-4,0))</f>
        <v/>
      </c>
      <c r="K983" s="295"/>
      <c r="L983" s="295"/>
      <c r="M983" s="295"/>
      <c r="N983" s="295"/>
      <c r="O983" s="295"/>
      <c r="P983" s="295"/>
      <c r="Q983" s="296"/>
      <c r="R983" s="227"/>
      <c r="S983" s="228" t="e">
        <f>IF(C983="",NA(),MATCH($B983&amp;$C983,'Smelter Reference List'!$J:$J,0))</f>
        <v>#N/A</v>
      </c>
      <c r="T983" s="229"/>
      <c r="U983" s="229">
        <f t="shared" ca="1" si="32"/>
        <v>0</v>
      </c>
      <c r="V983" s="229"/>
      <c r="W983" s="229"/>
      <c r="Y983" s="223" t="str">
        <f t="shared" si="33"/>
        <v/>
      </c>
    </row>
    <row r="984" spans="1:25" s="223" customFormat="1" ht="20.25">
      <c r="A984" s="291"/>
      <c r="B984" s="292" t="str">
        <f>IF(LEN(A984)=0,"",INDEX('Smelter Reference List'!$A:$A,MATCH($A984,'Smelter Reference List'!$E:$E,0)))</f>
        <v/>
      </c>
      <c r="C984" s="298" t="str">
        <f>IF(LEN(A984)=0,"",INDEX('Smelter Reference List'!$C:$C,MATCH($A984,'Smelter Reference List'!$E:$E,0)))</f>
        <v/>
      </c>
      <c r="D984" s="292" t="str">
        <f ca="1">IF(ISERROR($S984),"",OFFSET('Smelter Reference List'!$C$4,$S984-4,0)&amp;"")</f>
        <v/>
      </c>
      <c r="E984" s="292" t="str">
        <f ca="1">IF(ISERROR($S984),"",OFFSET('Smelter Reference List'!$D$4,$S984-4,0)&amp;"")</f>
        <v/>
      </c>
      <c r="F984" s="292" t="str">
        <f ca="1">IF(ISERROR($S984),"",OFFSET('Smelter Reference List'!$E$4,$S984-4,0))</f>
        <v/>
      </c>
      <c r="G984" s="292" t="str">
        <f ca="1">IF(C984=$U$4,"Enter smelter details", IF(ISERROR($S984),"",OFFSET('Smelter Reference List'!$F$4,$S984-4,0)))</f>
        <v/>
      </c>
      <c r="H984" s="293" t="str">
        <f ca="1">IF(ISERROR($S984),"",OFFSET('Smelter Reference List'!$G$4,$S984-4,0))</f>
        <v/>
      </c>
      <c r="I984" s="294" t="str">
        <f ca="1">IF(ISERROR($S984),"",OFFSET('Smelter Reference List'!$H$4,$S984-4,0))</f>
        <v/>
      </c>
      <c r="J984" s="294" t="str">
        <f ca="1">IF(ISERROR($S984),"",OFFSET('Smelter Reference List'!$I$4,$S984-4,0))</f>
        <v/>
      </c>
      <c r="K984" s="295"/>
      <c r="L984" s="295"/>
      <c r="M984" s="295"/>
      <c r="N984" s="295"/>
      <c r="O984" s="295"/>
      <c r="P984" s="295"/>
      <c r="Q984" s="296"/>
      <c r="R984" s="227"/>
      <c r="S984" s="228" t="e">
        <f>IF(C984="",NA(),MATCH($B984&amp;$C984,'Smelter Reference List'!$J:$J,0))</f>
        <v>#N/A</v>
      </c>
      <c r="T984" s="229"/>
      <c r="U984" s="229">
        <f t="shared" ca="1" si="32"/>
        <v>0</v>
      </c>
      <c r="V984" s="229"/>
      <c r="W984" s="229"/>
      <c r="Y984" s="223" t="str">
        <f t="shared" si="33"/>
        <v/>
      </c>
    </row>
    <row r="985" spans="1:25" s="223" customFormat="1" ht="20.25">
      <c r="A985" s="291"/>
      <c r="B985" s="292" t="str">
        <f>IF(LEN(A985)=0,"",INDEX('Smelter Reference List'!$A:$A,MATCH($A985,'Smelter Reference List'!$E:$E,0)))</f>
        <v/>
      </c>
      <c r="C985" s="298" t="str">
        <f>IF(LEN(A985)=0,"",INDEX('Smelter Reference List'!$C:$C,MATCH($A985,'Smelter Reference List'!$E:$E,0)))</f>
        <v/>
      </c>
      <c r="D985" s="292" t="str">
        <f ca="1">IF(ISERROR($S985),"",OFFSET('Smelter Reference List'!$C$4,$S985-4,0)&amp;"")</f>
        <v/>
      </c>
      <c r="E985" s="292" t="str">
        <f ca="1">IF(ISERROR($S985),"",OFFSET('Smelter Reference List'!$D$4,$S985-4,0)&amp;"")</f>
        <v/>
      </c>
      <c r="F985" s="292" t="str">
        <f ca="1">IF(ISERROR($S985),"",OFFSET('Smelter Reference List'!$E$4,$S985-4,0))</f>
        <v/>
      </c>
      <c r="G985" s="292" t="str">
        <f ca="1">IF(C985=$U$4,"Enter smelter details", IF(ISERROR($S985),"",OFFSET('Smelter Reference List'!$F$4,$S985-4,0)))</f>
        <v/>
      </c>
      <c r="H985" s="293" t="str">
        <f ca="1">IF(ISERROR($S985),"",OFFSET('Smelter Reference List'!$G$4,$S985-4,0))</f>
        <v/>
      </c>
      <c r="I985" s="294" t="str">
        <f ca="1">IF(ISERROR($S985),"",OFFSET('Smelter Reference List'!$H$4,$S985-4,0))</f>
        <v/>
      </c>
      <c r="J985" s="294" t="str">
        <f ca="1">IF(ISERROR($S985),"",OFFSET('Smelter Reference List'!$I$4,$S985-4,0))</f>
        <v/>
      </c>
      <c r="K985" s="295"/>
      <c r="L985" s="295"/>
      <c r="M985" s="295"/>
      <c r="N985" s="295"/>
      <c r="O985" s="295"/>
      <c r="P985" s="295"/>
      <c r="Q985" s="296"/>
      <c r="R985" s="227"/>
      <c r="S985" s="228" t="e">
        <f>IF(C985="",NA(),MATCH($B985&amp;$C985,'Smelter Reference List'!$J:$J,0))</f>
        <v>#N/A</v>
      </c>
      <c r="T985" s="229"/>
      <c r="U985" s="229">
        <f t="shared" ca="1" si="32"/>
        <v>0</v>
      </c>
      <c r="V985" s="229"/>
      <c r="W985" s="229"/>
      <c r="Y985" s="223" t="str">
        <f t="shared" si="33"/>
        <v/>
      </c>
    </row>
    <row r="986" spans="1:25" s="223" customFormat="1" ht="20.25">
      <c r="A986" s="291"/>
      <c r="B986" s="292" t="str">
        <f>IF(LEN(A986)=0,"",INDEX('Smelter Reference List'!$A:$A,MATCH($A986,'Smelter Reference List'!$E:$E,0)))</f>
        <v/>
      </c>
      <c r="C986" s="298" t="str">
        <f>IF(LEN(A986)=0,"",INDEX('Smelter Reference List'!$C:$C,MATCH($A986,'Smelter Reference List'!$E:$E,0)))</f>
        <v/>
      </c>
      <c r="D986" s="292" t="str">
        <f ca="1">IF(ISERROR($S986),"",OFFSET('Smelter Reference List'!$C$4,$S986-4,0)&amp;"")</f>
        <v/>
      </c>
      <c r="E986" s="292" t="str">
        <f ca="1">IF(ISERROR($S986),"",OFFSET('Smelter Reference List'!$D$4,$S986-4,0)&amp;"")</f>
        <v/>
      </c>
      <c r="F986" s="292" t="str">
        <f ca="1">IF(ISERROR($S986),"",OFFSET('Smelter Reference List'!$E$4,$S986-4,0))</f>
        <v/>
      </c>
      <c r="G986" s="292" t="str">
        <f ca="1">IF(C986=$U$4,"Enter smelter details", IF(ISERROR($S986),"",OFFSET('Smelter Reference List'!$F$4,$S986-4,0)))</f>
        <v/>
      </c>
      <c r="H986" s="293" t="str">
        <f ca="1">IF(ISERROR($S986),"",OFFSET('Smelter Reference List'!$G$4,$S986-4,0))</f>
        <v/>
      </c>
      <c r="I986" s="294" t="str">
        <f ca="1">IF(ISERROR($S986),"",OFFSET('Smelter Reference List'!$H$4,$S986-4,0))</f>
        <v/>
      </c>
      <c r="J986" s="294" t="str">
        <f ca="1">IF(ISERROR($S986),"",OFFSET('Smelter Reference List'!$I$4,$S986-4,0))</f>
        <v/>
      </c>
      <c r="K986" s="295"/>
      <c r="L986" s="295"/>
      <c r="M986" s="295"/>
      <c r="N986" s="295"/>
      <c r="O986" s="295"/>
      <c r="P986" s="295"/>
      <c r="Q986" s="296"/>
      <c r="R986" s="227"/>
      <c r="S986" s="228" t="e">
        <f>IF(C986="",NA(),MATCH($B986&amp;$C986,'Smelter Reference List'!$J:$J,0))</f>
        <v>#N/A</v>
      </c>
      <c r="T986" s="229"/>
      <c r="U986" s="229">
        <f t="shared" ca="1" si="32"/>
        <v>0</v>
      </c>
      <c r="V986" s="229"/>
      <c r="W986" s="229"/>
      <c r="Y986" s="223" t="str">
        <f t="shared" si="33"/>
        <v/>
      </c>
    </row>
    <row r="987" spans="1:25" s="223" customFormat="1" ht="20.25">
      <c r="A987" s="291"/>
      <c r="B987" s="292" t="str">
        <f>IF(LEN(A987)=0,"",INDEX('Smelter Reference List'!$A:$A,MATCH($A987,'Smelter Reference List'!$E:$E,0)))</f>
        <v/>
      </c>
      <c r="C987" s="298" t="str">
        <f>IF(LEN(A987)=0,"",INDEX('Smelter Reference List'!$C:$C,MATCH($A987,'Smelter Reference List'!$E:$E,0)))</f>
        <v/>
      </c>
      <c r="D987" s="292" t="str">
        <f ca="1">IF(ISERROR($S987),"",OFFSET('Smelter Reference List'!$C$4,$S987-4,0)&amp;"")</f>
        <v/>
      </c>
      <c r="E987" s="292" t="str">
        <f ca="1">IF(ISERROR($S987),"",OFFSET('Smelter Reference List'!$D$4,$S987-4,0)&amp;"")</f>
        <v/>
      </c>
      <c r="F987" s="292" t="str">
        <f ca="1">IF(ISERROR($S987),"",OFFSET('Smelter Reference List'!$E$4,$S987-4,0))</f>
        <v/>
      </c>
      <c r="G987" s="292" t="str">
        <f ca="1">IF(C987=$U$4,"Enter smelter details", IF(ISERROR($S987),"",OFFSET('Smelter Reference List'!$F$4,$S987-4,0)))</f>
        <v/>
      </c>
      <c r="H987" s="293" t="str">
        <f ca="1">IF(ISERROR($S987),"",OFFSET('Smelter Reference List'!$G$4,$S987-4,0))</f>
        <v/>
      </c>
      <c r="I987" s="294" t="str">
        <f ca="1">IF(ISERROR($S987),"",OFFSET('Smelter Reference List'!$H$4,$S987-4,0))</f>
        <v/>
      </c>
      <c r="J987" s="294" t="str">
        <f ca="1">IF(ISERROR($S987),"",OFFSET('Smelter Reference List'!$I$4,$S987-4,0))</f>
        <v/>
      </c>
      <c r="K987" s="295"/>
      <c r="L987" s="295"/>
      <c r="M987" s="295"/>
      <c r="N987" s="295"/>
      <c r="O987" s="295"/>
      <c r="P987" s="295"/>
      <c r="Q987" s="296"/>
      <c r="R987" s="227"/>
      <c r="S987" s="228" t="e">
        <f>IF(C987="",NA(),MATCH($B987&amp;$C987,'Smelter Reference List'!$J:$J,0))</f>
        <v>#N/A</v>
      </c>
      <c r="T987" s="229"/>
      <c r="U987" s="229">
        <f t="shared" ca="1" si="32"/>
        <v>0</v>
      </c>
      <c r="V987" s="229"/>
      <c r="W987" s="229"/>
      <c r="Y987" s="223" t="str">
        <f t="shared" si="33"/>
        <v/>
      </c>
    </row>
    <row r="988" spans="1:25" s="223" customFormat="1" ht="20.25">
      <c r="A988" s="291"/>
      <c r="B988" s="292" t="str">
        <f>IF(LEN(A988)=0,"",INDEX('Smelter Reference List'!$A:$A,MATCH($A988,'Smelter Reference List'!$E:$E,0)))</f>
        <v/>
      </c>
      <c r="C988" s="298" t="str">
        <f>IF(LEN(A988)=0,"",INDEX('Smelter Reference List'!$C:$C,MATCH($A988,'Smelter Reference List'!$E:$E,0)))</f>
        <v/>
      </c>
      <c r="D988" s="292" t="str">
        <f ca="1">IF(ISERROR($S988),"",OFFSET('Smelter Reference List'!$C$4,$S988-4,0)&amp;"")</f>
        <v/>
      </c>
      <c r="E988" s="292" t="str">
        <f ca="1">IF(ISERROR($S988),"",OFFSET('Smelter Reference List'!$D$4,$S988-4,0)&amp;"")</f>
        <v/>
      </c>
      <c r="F988" s="292" t="str">
        <f ca="1">IF(ISERROR($S988),"",OFFSET('Smelter Reference List'!$E$4,$S988-4,0))</f>
        <v/>
      </c>
      <c r="G988" s="292" t="str">
        <f ca="1">IF(C988=$U$4,"Enter smelter details", IF(ISERROR($S988),"",OFFSET('Smelter Reference List'!$F$4,$S988-4,0)))</f>
        <v/>
      </c>
      <c r="H988" s="293" t="str">
        <f ca="1">IF(ISERROR($S988),"",OFFSET('Smelter Reference List'!$G$4,$S988-4,0))</f>
        <v/>
      </c>
      <c r="I988" s="294" t="str">
        <f ca="1">IF(ISERROR($S988),"",OFFSET('Smelter Reference List'!$H$4,$S988-4,0))</f>
        <v/>
      </c>
      <c r="J988" s="294" t="str">
        <f ca="1">IF(ISERROR($S988),"",OFFSET('Smelter Reference List'!$I$4,$S988-4,0))</f>
        <v/>
      </c>
      <c r="K988" s="295"/>
      <c r="L988" s="295"/>
      <c r="M988" s="295"/>
      <c r="N988" s="295"/>
      <c r="O988" s="295"/>
      <c r="P988" s="295"/>
      <c r="Q988" s="296"/>
      <c r="R988" s="227"/>
      <c r="S988" s="228" t="e">
        <f>IF(C988="",NA(),MATCH($B988&amp;$C988,'Smelter Reference List'!$J:$J,0))</f>
        <v>#N/A</v>
      </c>
      <c r="T988" s="229"/>
      <c r="U988" s="229">
        <f t="shared" ca="1" si="32"/>
        <v>0</v>
      </c>
      <c r="V988" s="229"/>
      <c r="W988" s="229"/>
      <c r="Y988" s="223" t="str">
        <f t="shared" si="33"/>
        <v/>
      </c>
    </row>
    <row r="989" spans="1:25" s="223" customFormat="1" ht="20.25">
      <c r="A989" s="291"/>
      <c r="B989" s="292" t="str">
        <f>IF(LEN(A989)=0,"",INDEX('Smelter Reference List'!$A:$A,MATCH($A989,'Smelter Reference List'!$E:$E,0)))</f>
        <v/>
      </c>
      <c r="C989" s="298" t="str">
        <f>IF(LEN(A989)=0,"",INDEX('Smelter Reference List'!$C:$C,MATCH($A989,'Smelter Reference List'!$E:$E,0)))</f>
        <v/>
      </c>
      <c r="D989" s="292" t="str">
        <f ca="1">IF(ISERROR($S989),"",OFFSET('Smelter Reference List'!$C$4,$S989-4,0)&amp;"")</f>
        <v/>
      </c>
      <c r="E989" s="292" t="str">
        <f ca="1">IF(ISERROR($S989),"",OFFSET('Smelter Reference List'!$D$4,$S989-4,0)&amp;"")</f>
        <v/>
      </c>
      <c r="F989" s="292" t="str">
        <f ca="1">IF(ISERROR($S989),"",OFFSET('Smelter Reference List'!$E$4,$S989-4,0))</f>
        <v/>
      </c>
      <c r="G989" s="292" t="str">
        <f ca="1">IF(C989=$U$4,"Enter smelter details", IF(ISERROR($S989),"",OFFSET('Smelter Reference List'!$F$4,$S989-4,0)))</f>
        <v/>
      </c>
      <c r="H989" s="293" t="str">
        <f ca="1">IF(ISERROR($S989),"",OFFSET('Smelter Reference List'!$G$4,$S989-4,0))</f>
        <v/>
      </c>
      <c r="I989" s="294" t="str">
        <f ca="1">IF(ISERROR($S989),"",OFFSET('Smelter Reference List'!$H$4,$S989-4,0))</f>
        <v/>
      </c>
      <c r="J989" s="294" t="str">
        <f ca="1">IF(ISERROR($S989),"",OFFSET('Smelter Reference List'!$I$4,$S989-4,0))</f>
        <v/>
      </c>
      <c r="K989" s="295"/>
      <c r="L989" s="295"/>
      <c r="M989" s="295"/>
      <c r="N989" s="295"/>
      <c r="O989" s="295"/>
      <c r="P989" s="295"/>
      <c r="Q989" s="296"/>
      <c r="R989" s="227"/>
      <c r="S989" s="228" t="e">
        <f>IF(C989="",NA(),MATCH($B989&amp;$C989,'Smelter Reference List'!$J:$J,0))</f>
        <v>#N/A</v>
      </c>
      <c r="T989" s="229"/>
      <c r="U989" s="229">
        <f t="shared" ca="1" si="32"/>
        <v>0</v>
      </c>
      <c r="V989" s="229"/>
      <c r="W989" s="229"/>
      <c r="Y989" s="223" t="str">
        <f t="shared" si="33"/>
        <v/>
      </c>
    </row>
    <row r="990" spans="1:25" s="223" customFormat="1" ht="20.25">
      <c r="A990" s="291"/>
      <c r="B990" s="292" t="str">
        <f>IF(LEN(A990)=0,"",INDEX('Smelter Reference List'!$A:$A,MATCH($A990,'Smelter Reference List'!$E:$E,0)))</f>
        <v/>
      </c>
      <c r="C990" s="298" t="str">
        <f>IF(LEN(A990)=0,"",INDEX('Smelter Reference List'!$C:$C,MATCH($A990,'Smelter Reference List'!$E:$E,0)))</f>
        <v/>
      </c>
      <c r="D990" s="292" t="str">
        <f ca="1">IF(ISERROR($S990),"",OFFSET('Smelter Reference List'!$C$4,$S990-4,0)&amp;"")</f>
        <v/>
      </c>
      <c r="E990" s="292" t="str">
        <f ca="1">IF(ISERROR($S990),"",OFFSET('Smelter Reference List'!$D$4,$S990-4,0)&amp;"")</f>
        <v/>
      </c>
      <c r="F990" s="292" t="str">
        <f ca="1">IF(ISERROR($S990),"",OFFSET('Smelter Reference List'!$E$4,$S990-4,0))</f>
        <v/>
      </c>
      <c r="G990" s="292" t="str">
        <f ca="1">IF(C990=$U$4,"Enter smelter details", IF(ISERROR($S990),"",OFFSET('Smelter Reference List'!$F$4,$S990-4,0)))</f>
        <v/>
      </c>
      <c r="H990" s="293" t="str">
        <f ca="1">IF(ISERROR($S990),"",OFFSET('Smelter Reference List'!$G$4,$S990-4,0))</f>
        <v/>
      </c>
      <c r="I990" s="294" t="str">
        <f ca="1">IF(ISERROR($S990),"",OFFSET('Smelter Reference List'!$H$4,$S990-4,0))</f>
        <v/>
      </c>
      <c r="J990" s="294" t="str">
        <f ca="1">IF(ISERROR($S990),"",OFFSET('Smelter Reference List'!$I$4,$S990-4,0))</f>
        <v/>
      </c>
      <c r="K990" s="295"/>
      <c r="L990" s="295"/>
      <c r="M990" s="295"/>
      <c r="N990" s="295"/>
      <c r="O990" s="295"/>
      <c r="P990" s="295"/>
      <c r="Q990" s="296"/>
      <c r="R990" s="227"/>
      <c r="S990" s="228" t="e">
        <f>IF(C990="",NA(),MATCH($B990&amp;$C990,'Smelter Reference List'!$J:$J,0))</f>
        <v>#N/A</v>
      </c>
      <c r="T990" s="229"/>
      <c r="U990" s="229">
        <f t="shared" ca="1" si="32"/>
        <v>0</v>
      </c>
      <c r="V990" s="229"/>
      <c r="W990" s="229"/>
      <c r="Y990" s="223" t="str">
        <f t="shared" si="33"/>
        <v/>
      </c>
    </row>
    <row r="991" spans="1:25" s="223" customFormat="1" ht="20.25">
      <c r="A991" s="291"/>
      <c r="B991" s="292" t="str">
        <f>IF(LEN(A991)=0,"",INDEX('Smelter Reference List'!$A:$A,MATCH($A991,'Smelter Reference List'!$E:$E,0)))</f>
        <v/>
      </c>
      <c r="C991" s="298" t="str">
        <f>IF(LEN(A991)=0,"",INDEX('Smelter Reference List'!$C:$C,MATCH($A991,'Smelter Reference List'!$E:$E,0)))</f>
        <v/>
      </c>
      <c r="D991" s="292" t="str">
        <f ca="1">IF(ISERROR($S991),"",OFFSET('Smelter Reference List'!$C$4,$S991-4,0)&amp;"")</f>
        <v/>
      </c>
      <c r="E991" s="292" t="str">
        <f ca="1">IF(ISERROR($S991),"",OFFSET('Smelter Reference List'!$D$4,$S991-4,0)&amp;"")</f>
        <v/>
      </c>
      <c r="F991" s="292" t="str">
        <f ca="1">IF(ISERROR($S991),"",OFFSET('Smelter Reference List'!$E$4,$S991-4,0))</f>
        <v/>
      </c>
      <c r="G991" s="292" t="str">
        <f ca="1">IF(C991=$U$4,"Enter smelter details", IF(ISERROR($S991),"",OFFSET('Smelter Reference List'!$F$4,$S991-4,0)))</f>
        <v/>
      </c>
      <c r="H991" s="293" t="str">
        <f ca="1">IF(ISERROR($S991),"",OFFSET('Smelter Reference List'!$G$4,$S991-4,0))</f>
        <v/>
      </c>
      <c r="I991" s="294" t="str">
        <f ca="1">IF(ISERROR($S991),"",OFFSET('Smelter Reference List'!$H$4,$S991-4,0))</f>
        <v/>
      </c>
      <c r="J991" s="294" t="str">
        <f ca="1">IF(ISERROR($S991),"",OFFSET('Smelter Reference List'!$I$4,$S991-4,0))</f>
        <v/>
      </c>
      <c r="K991" s="295"/>
      <c r="L991" s="295"/>
      <c r="M991" s="295"/>
      <c r="N991" s="295"/>
      <c r="O991" s="295"/>
      <c r="P991" s="295"/>
      <c r="Q991" s="296"/>
      <c r="R991" s="227"/>
      <c r="S991" s="228" t="e">
        <f>IF(C991="",NA(),MATCH($B991&amp;$C991,'Smelter Reference List'!$J:$J,0))</f>
        <v>#N/A</v>
      </c>
      <c r="T991" s="229"/>
      <c r="U991" s="229">
        <f t="shared" ca="1" si="32"/>
        <v>0</v>
      </c>
      <c r="V991" s="229"/>
      <c r="W991" s="229"/>
      <c r="Y991" s="223" t="str">
        <f t="shared" si="33"/>
        <v/>
      </c>
    </row>
    <row r="992" spans="1:25" s="223" customFormat="1" ht="20.25">
      <c r="A992" s="291"/>
      <c r="B992" s="292" t="str">
        <f>IF(LEN(A992)=0,"",INDEX('Smelter Reference List'!$A:$A,MATCH($A992,'Smelter Reference List'!$E:$E,0)))</f>
        <v/>
      </c>
      <c r="C992" s="298" t="str">
        <f>IF(LEN(A992)=0,"",INDEX('Smelter Reference List'!$C:$C,MATCH($A992,'Smelter Reference List'!$E:$E,0)))</f>
        <v/>
      </c>
      <c r="D992" s="292" t="str">
        <f ca="1">IF(ISERROR($S992),"",OFFSET('Smelter Reference List'!$C$4,$S992-4,0)&amp;"")</f>
        <v/>
      </c>
      <c r="E992" s="292" t="str">
        <f ca="1">IF(ISERROR($S992),"",OFFSET('Smelter Reference List'!$D$4,$S992-4,0)&amp;"")</f>
        <v/>
      </c>
      <c r="F992" s="292" t="str">
        <f ca="1">IF(ISERROR($S992),"",OFFSET('Smelter Reference List'!$E$4,$S992-4,0))</f>
        <v/>
      </c>
      <c r="G992" s="292" t="str">
        <f ca="1">IF(C992=$U$4,"Enter smelter details", IF(ISERROR($S992),"",OFFSET('Smelter Reference List'!$F$4,$S992-4,0)))</f>
        <v/>
      </c>
      <c r="H992" s="293" t="str">
        <f ca="1">IF(ISERROR($S992),"",OFFSET('Smelter Reference List'!$G$4,$S992-4,0))</f>
        <v/>
      </c>
      <c r="I992" s="294" t="str">
        <f ca="1">IF(ISERROR($S992),"",OFFSET('Smelter Reference List'!$H$4,$S992-4,0))</f>
        <v/>
      </c>
      <c r="J992" s="294" t="str">
        <f ca="1">IF(ISERROR($S992),"",OFFSET('Smelter Reference List'!$I$4,$S992-4,0))</f>
        <v/>
      </c>
      <c r="K992" s="295"/>
      <c r="L992" s="295"/>
      <c r="M992" s="295"/>
      <c r="N992" s="295"/>
      <c r="O992" s="295"/>
      <c r="P992" s="295"/>
      <c r="Q992" s="296"/>
      <c r="R992" s="227"/>
      <c r="S992" s="228" t="e">
        <f>IF(C992="",NA(),MATCH($B992&amp;$C992,'Smelter Reference List'!$J:$J,0))</f>
        <v>#N/A</v>
      </c>
      <c r="T992" s="229"/>
      <c r="U992" s="229">
        <f t="shared" ca="1" si="32"/>
        <v>0</v>
      </c>
      <c r="V992" s="229"/>
      <c r="W992" s="229"/>
      <c r="Y992" s="223" t="str">
        <f t="shared" si="33"/>
        <v/>
      </c>
    </row>
    <row r="993" spans="1:25" s="223" customFormat="1" ht="20.25">
      <c r="A993" s="291"/>
      <c r="B993" s="292" t="str">
        <f>IF(LEN(A993)=0,"",INDEX('Smelter Reference List'!$A:$A,MATCH($A993,'Smelter Reference List'!$E:$E,0)))</f>
        <v/>
      </c>
      <c r="C993" s="298" t="str">
        <f>IF(LEN(A993)=0,"",INDEX('Smelter Reference List'!$C:$C,MATCH($A993,'Smelter Reference List'!$E:$E,0)))</f>
        <v/>
      </c>
      <c r="D993" s="292" t="str">
        <f ca="1">IF(ISERROR($S993),"",OFFSET('Smelter Reference List'!$C$4,$S993-4,0)&amp;"")</f>
        <v/>
      </c>
      <c r="E993" s="292" t="str">
        <f ca="1">IF(ISERROR($S993),"",OFFSET('Smelter Reference List'!$D$4,$S993-4,0)&amp;"")</f>
        <v/>
      </c>
      <c r="F993" s="292" t="str">
        <f ca="1">IF(ISERROR($S993),"",OFFSET('Smelter Reference List'!$E$4,$S993-4,0))</f>
        <v/>
      </c>
      <c r="G993" s="292" t="str">
        <f ca="1">IF(C993=$U$4,"Enter smelter details", IF(ISERROR($S993),"",OFFSET('Smelter Reference List'!$F$4,$S993-4,0)))</f>
        <v/>
      </c>
      <c r="H993" s="293" t="str">
        <f ca="1">IF(ISERROR($S993),"",OFFSET('Smelter Reference List'!$G$4,$S993-4,0))</f>
        <v/>
      </c>
      <c r="I993" s="294" t="str">
        <f ca="1">IF(ISERROR($S993),"",OFFSET('Smelter Reference List'!$H$4,$S993-4,0))</f>
        <v/>
      </c>
      <c r="J993" s="294" t="str">
        <f ca="1">IF(ISERROR($S993),"",OFFSET('Smelter Reference List'!$I$4,$S993-4,0))</f>
        <v/>
      </c>
      <c r="K993" s="295"/>
      <c r="L993" s="295"/>
      <c r="M993" s="295"/>
      <c r="N993" s="295"/>
      <c r="O993" s="295"/>
      <c r="P993" s="295"/>
      <c r="Q993" s="296"/>
      <c r="R993" s="227"/>
      <c r="S993" s="228" t="e">
        <f>IF(C993="",NA(),MATCH($B993&amp;$C993,'Smelter Reference List'!$J:$J,0))</f>
        <v>#N/A</v>
      </c>
      <c r="T993" s="229"/>
      <c r="U993" s="229">
        <f t="shared" ca="1" si="32"/>
        <v>0</v>
      </c>
      <c r="V993" s="229"/>
      <c r="W993" s="229"/>
      <c r="Y993" s="223" t="str">
        <f t="shared" si="33"/>
        <v/>
      </c>
    </row>
    <row r="994" spans="1:25" s="223" customFormat="1" ht="20.25">
      <c r="A994" s="291"/>
      <c r="B994" s="292" t="str">
        <f>IF(LEN(A994)=0,"",INDEX('Smelter Reference List'!$A:$A,MATCH($A994,'Smelter Reference List'!$E:$E,0)))</f>
        <v/>
      </c>
      <c r="C994" s="298" t="str">
        <f>IF(LEN(A994)=0,"",INDEX('Smelter Reference List'!$C:$C,MATCH($A994,'Smelter Reference List'!$E:$E,0)))</f>
        <v/>
      </c>
      <c r="D994" s="292" t="str">
        <f ca="1">IF(ISERROR($S994),"",OFFSET('Smelter Reference List'!$C$4,$S994-4,0)&amp;"")</f>
        <v/>
      </c>
      <c r="E994" s="292" t="str">
        <f ca="1">IF(ISERROR($S994),"",OFFSET('Smelter Reference List'!$D$4,$S994-4,0)&amp;"")</f>
        <v/>
      </c>
      <c r="F994" s="292" t="str">
        <f ca="1">IF(ISERROR($S994),"",OFFSET('Smelter Reference List'!$E$4,$S994-4,0))</f>
        <v/>
      </c>
      <c r="G994" s="292" t="str">
        <f ca="1">IF(C994=$U$4,"Enter smelter details", IF(ISERROR($S994),"",OFFSET('Smelter Reference List'!$F$4,$S994-4,0)))</f>
        <v/>
      </c>
      <c r="H994" s="293" t="str">
        <f ca="1">IF(ISERROR($S994),"",OFFSET('Smelter Reference List'!$G$4,$S994-4,0))</f>
        <v/>
      </c>
      <c r="I994" s="294" t="str">
        <f ca="1">IF(ISERROR($S994),"",OFFSET('Smelter Reference List'!$H$4,$S994-4,0))</f>
        <v/>
      </c>
      <c r="J994" s="294" t="str">
        <f ca="1">IF(ISERROR($S994),"",OFFSET('Smelter Reference List'!$I$4,$S994-4,0))</f>
        <v/>
      </c>
      <c r="K994" s="295"/>
      <c r="L994" s="295"/>
      <c r="M994" s="295"/>
      <c r="N994" s="295"/>
      <c r="O994" s="295"/>
      <c r="P994" s="295"/>
      <c r="Q994" s="296"/>
      <c r="R994" s="227"/>
      <c r="S994" s="228" t="e">
        <f>IF(C994="",NA(),MATCH($B994&amp;$C994,'Smelter Reference List'!$J:$J,0))</f>
        <v>#N/A</v>
      </c>
      <c r="T994" s="229"/>
      <c r="U994" s="229">
        <f t="shared" ca="1" si="32"/>
        <v>0</v>
      </c>
      <c r="V994" s="229"/>
      <c r="W994" s="229"/>
      <c r="Y994" s="223" t="str">
        <f t="shared" si="33"/>
        <v/>
      </c>
    </row>
    <row r="995" spans="1:25" s="223" customFormat="1" ht="20.25">
      <c r="A995" s="291"/>
      <c r="B995" s="292" t="str">
        <f>IF(LEN(A995)=0,"",INDEX('Smelter Reference List'!$A:$A,MATCH($A995,'Smelter Reference List'!$E:$E,0)))</f>
        <v/>
      </c>
      <c r="C995" s="298" t="str">
        <f>IF(LEN(A995)=0,"",INDEX('Smelter Reference List'!$C:$C,MATCH($A995,'Smelter Reference List'!$E:$E,0)))</f>
        <v/>
      </c>
      <c r="D995" s="292" t="str">
        <f ca="1">IF(ISERROR($S995),"",OFFSET('Smelter Reference List'!$C$4,$S995-4,0)&amp;"")</f>
        <v/>
      </c>
      <c r="E995" s="292" t="str">
        <f ca="1">IF(ISERROR($S995),"",OFFSET('Smelter Reference List'!$D$4,$S995-4,0)&amp;"")</f>
        <v/>
      </c>
      <c r="F995" s="292" t="str">
        <f ca="1">IF(ISERROR($S995),"",OFFSET('Smelter Reference List'!$E$4,$S995-4,0))</f>
        <v/>
      </c>
      <c r="G995" s="292" t="str">
        <f ca="1">IF(C995=$U$4,"Enter smelter details", IF(ISERROR($S995),"",OFFSET('Smelter Reference List'!$F$4,$S995-4,0)))</f>
        <v/>
      </c>
      <c r="H995" s="293" t="str">
        <f ca="1">IF(ISERROR($S995),"",OFFSET('Smelter Reference List'!$G$4,$S995-4,0))</f>
        <v/>
      </c>
      <c r="I995" s="294" t="str">
        <f ca="1">IF(ISERROR($S995),"",OFFSET('Smelter Reference List'!$H$4,$S995-4,0))</f>
        <v/>
      </c>
      <c r="J995" s="294" t="str">
        <f ca="1">IF(ISERROR($S995),"",OFFSET('Smelter Reference List'!$I$4,$S995-4,0))</f>
        <v/>
      </c>
      <c r="K995" s="295"/>
      <c r="L995" s="295"/>
      <c r="M995" s="295"/>
      <c r="N995" s="295"/>
      <c r="O995" s="295"/>
      <c r="P995" s="295"/>
      <c r="Q995" s="296"/>
      <c r="R995" s="227"/>
      <c r="S995" s="228" t="e">
        <f>IF(C995="",NA(),MATCH($B995&amp;$C995,'Smelter Reference List'!$J:$J,0))</f>
        <v>#N/A</v>
      </c>
      <c r="T995" s="229"/>
      <c r="U995" s="229">
        <f t="shared" ca="1" si="32"/>
        <v>0</v>
      </c>
      <c r="V995" s="229"/>
      <c r="W995" s="229"/>
      <c r="Y995" s="223" t="str">
        <f t="shared" si="33"/>
        <v/>
      </c>
    </row>
    <row r="996" spans="1:25" s="223" customFormat="1" ht="20.25">
      <c r="A996" s="291"/>
      <c r="B996" s="292" t="str">
        <f>IF(LEN(A996)=0,"",INDEX('Smelter Reference List'!$A:$A,MATCH($A996,'Smelter Reference List'!$E:$E,0)))</f>
        <v/>
      </c>
      <c r="C996" s="298" t="str">
        <f>IF(LEN(A996)=0,"",INDEX('Smelter Reference List'!$C:$C,MATCH($A996,'Smelter Reference List'!$E:$E,0)))</f>
        <v/>
      </c>
      <c r="D996" s="292" t="str">
        <f ca="1">IF(ISERROR($S996),"",OFFSET('Smelter Reference List'!$C$4,$S996-4,0)&amp;"")</f>
        <v/>
      </c>
      <c r="E996" s="292" t="str">
        <f ca="1">IF(ISERROR($S996),"",OFFSET('Smelter Reference List'!$D$4,$S996-4,0)&amp;"")</f>
        <v/>
      </c>
      <c r="F996" s="292" t="str">
        <f ca="1">IF(ISERROR($S996),"",OFFSET('Smelter Reference List'!$E$4,$S996-4,0))</f>
        <v/>
      </c>
      <c r="G996" s="292" t="str">
        <f ca="1">IF(C996=$U$4,"Enter smelter details", IF(ISERROR($S996),"",OFFSET('Smelter Reference List'!$F$4,$S996-4,0)))</f>
        <v/>
      </c>
      <c r="H996" s="293" t="str">
        <f ca="1">IF(ISERROR($S996),"",OFFSET('Smelter Reference List'!$G$4,$S996-4,0))</f>
        <v/>
      </c>
      <c r="I996" s="294" t="str">
        <f ca="1">IF(ISERROR($S996),"",OFFSET('Smelter Reference List'!$H$4,$S996-4,0))</f>
        <v/>
      </c>
      <c r="J996" s="294" t="str">
        <f ca="1">IF(ISERROR($S996),"",OFFSET('Smelter Reference List'!$I$4,$S996-4,0))</f>
        <v/>
      </c>
      <c r="K996" s="295"/>
      <c r="L996" s="295"/>
      <c r="M996" s="295"/>
      <c r="N996" s="295"/>
      <c r="O996" s="295"/>
      <c r="P996" s="295"/>
      <c r="Q996" s="296"/>
      <c r="R996" s="227"/>
      <c r="S996" s="228" t="e">
        <f>IF(C996="",NA(),MATCH($B996&amp;$C996,'Smelter Reference List'!$J:$J,0))</f>
        <v>#N/A</v>
      </c>
      <c r="T996" s="229"/>
      <c r="U996" s="229">
        <f t="shared" ca="1" si="32"/>
        <v>0</v>
      </c>
      <c r="V996" s="229"/>
      <c r="W996" s="229"/>
      <c r="Y996" s="223" t="str">
        <f t="shared" si="33"/>
        <v/>
      </c>
    </row>
    <row r="997" spans="1:25" s="223" customFormat="1" ht="20.25">
      <c r="A997" s="291"/>
      <c r="B997" s="292" t="str">
        <f>IF(LEN(A997)=0,"",INDEX('Smelter Reference List'!$A:$A,MATCH($A997,'Smelter Reference List'!$E:$E,0)))</f>
        <v/>
      </c>
      <c r="C997" s="298" t="str">
        <f>IF(LEN(A997)=0,"",INDEX('Smelter Reference List'!$C:$C,MATCH($A997,'Smelter Reference List'!$E:$E,0)))</f>
        <v/>
      </c>
      <c r="D997" s="292" t="str">
        <f ca="1">IF(ISERROR($S997),"",OFFSET('Smelter Reference List'!$C$4,$S997-4,0)&amp;"")</f>
        <v/>
      </c>
      <c r="E997" s="292" t="str">
        <f ca="1">IF(ISERROR($S997),"",OFFSET('Smelter Reference List'!$D$4,$S997-4,0)&amp;"")</f>
        <v/>
      </c>
      <c r="F997" s="292" t="str">
        <f ca="1">IF(ISERROR($S997),"",OFFSET('Smelter Reference List'!$E$4,$S997-4,0))</f>
        <v/>
      </c>
      <c r="G997" s="292" t="str">
        <f ca="1">IF(C997=$U$4,"Enter smelter details", IF(ISERROR($S997),"",OFFSET('Smelter Reference List'!$F$4,$S997-4,0)))</f>
        <v/>
      </c>
      <c r="H997" s="293" t="str">
        <f ca="1">IF(ISERROR($S997),"",OFFSET('Smelter Reference List'!$G$4,$S997-4,0))</f>
        <v/>
      </c>
      <c r="I997" s="294" t="str">
        <f ca="1">IF(ISERROR($S997),"",OFFSET('Smelter Reference List'!$H$4,$S997-4,0))</f>
        <v/>
      </c>
      <c r="J997" s="294" t="str">
        <f ca="1">IF(ISERROR($S997),"",OFFSET('Smelter Reference List'!$I$4,$S997-4,0))</f>
        <v/>
      </c>
      <c r="K997" s="295"/>
      <c r="L997" s="295"/>
      <c r="M997" s="295"/>
      <c r="N997" s="295"/>
      <c r="O997" s="295"/>
      <c r="P997" s="295"/>
      <c r="Q997" s="296"/>
      <c r="R997" s="227"/>
      <c r="S997" s="228" t="e">
        <f>IF(C997="",NA(),MATCH($B997&amp;$C997,'Smelter Reference List'!$J:$J,0))</f>
        <v>#N/A</v>
      </c>
      <c r="T997" s="229"/>
      <c r="U997" s="229">
        <f t="shared" ca="1" si="32"/>
        <v>0</v>
      </c>
      <c r="V997" s="229"/>
      <c r="W997" s="229"/>
      <c r="Y997" s="223" t="str">
        <f t="shared" si="33"/>
        <v/>
      </c>
    </row>
    <row r="998" spans="1:25" s="223" customFormat="1" ht="20.25">
      <c r="A998" s="291"/>
      <c r="B998" s="292" t="str">
        <f>IF(LEN(A998)=0,"",INDEX('Smelter Reference List'!$A:$A,MATCH($A998,'Smelter Reference List'!$E:$E,0)))</f>
        <v/>
      </c>
      <c r="C998" s="298" t="str">
        <f>IF(LEN(A998)=0,"",INDEX('Smelter Reference List'!$C:$C,MATCH($A998,'Smelter Reference List'!$E:$E,0)))</f>
        <v/>
      </c>
      <c r="D998" s="292" t="str">
        <f ca="1">IF(ISERROR($S998),"",OFFSET('Smelter Reference List'!$C$4,$S998-4,0)&amp;"")</f>
        <v/>
      </c>
      <c r="E998" s="292" t="str">
        <f ca="1">IF(ISERROR($S998),"",OFFSET('Smelter Reference List'!$D$4,$S998-4,0)&amp;"")</f>
        <v/>
      </c>
      <c r="F998" s="292" t="str">
        <f ca="1">IF(ISERROR($S998),"",OFFSET('Smelter Reference List'!$E$4,$S998-4,0))</f>
        <v/>
      </c>
      <c r="G998" s="292" t="str">
        <f ca="1">IF(C998=$U$4,"Enter smelter details", IF(ISERROR($S998),"",OFFSET('Smelter Reference List'!$F$4,$S998-4,0)))</f>
        <v/>
      </c>
      <c r="H998" s="293" t="str">
        <f ca="1">IF(ISERROR($S998),"",OFFSET('Smelter Reference List'!$G$4,$S998-4,0))</f>
        <v/>
      </c>
      <c r="I998" s="294" t="str">
        <f ca="1">IF(ISERROR($S998),"",OFFSET('Smelter Reference List'!$H$4,$S998-4,0))</f>
        <v/>
      </c>
      <c r="J998" s="294" t="str">
        <f ca="1">IF(ISERROR($S998),"",OFFSET('Smelter Reference List'!$I$4,$S998-4,0))</f>
        <v/>
      </c>
      <c r="K998" s="295"/>
      <c r="L998" s="295"/>
      <c r="M998" s="295"/>
      <c r="N998" s="295"/>
      <c r="O998" s="295"/>
      <c r="P998" s="295"/>
      <c r="Q998" s="296"/>
      <c r="R998" s="227"/>
      <c r="S998" s="228" t="e">
        <f>IF(C998="",NA(),MATCH($B998&amp;$C998,'Smelter Reference List'!$J:$J,0))</f>
        <v>#N/A</v>
      </c>
      <c r="T998" s="229"/>
      <c r="U998" s="229">
        <f t="shared" ca="1" si="32"/>
        <v>0</v>
      </c>
      <c r="V998" s="229"/>
      <c r="W998" s="229"/>
      <c r="Y998" s="223" t="str">
        <f t="shared" si="33"/>
        <v/>
      </c>
    </row>
    <row r="999" spans="1:25" s="223" customFormat="1" ht="20.25">
      <c r="A999" s="291"/>
      <c r="B999" s="292" t="str">
        <f>IF(LEN(A999)=0,"",INDEX('Smelter Reference List'!$A:$A,MATCH($A999,'Smelter Reference List'!$E:$E,0)))</f>
        <v/>
      </c>
      <c r="C999" s="298" t="str">
        <f>IF(LEN(A999)=0,"",INDEX('Smelter Reference List'!$C:$C,MATCH($A999,'Smelter Reference List'!$E:$E,0)))</f>
        <v/>
      </c>
      <c r="D999" s="292" t="str">
        <f ca="1">IF(ISERROR($S999),"",OFFSET('Smelter Reference List'!$C$4,$S999-4,0)&amp;"")</f>
        <v/>
      </c>
      <c r="E999" s="292" t="str">
        <f ca="1">IF(ISERROR($S999),"",OFFSET('Smelter Reference List'!$D$4,$S999-4,0)&amp;"")</f>
        <v/>
      </c>
      <c r="F999" s="292" t="str">
        <f ca="1">IF(ISERROR($S999),"",OFFSET('Smelter Reference List'!$E$4,$S999-4,0))</f>
        <v/>
      </c>
      <c r="G999" s="292" t="str">
        <f ca="1">IF(C999=$U$4,"Enter smelter details", IF(ISERROR($S999),"",OFFSET('Smelter Reference List'!$F$4,$S999-4,0)))</f>
        <v/>
      </c>
      <c r="H999" s="293" t="str">
        <f ca="1">IF(ISERROR($S999),"",OFFSET('Smelter Reference List'!$G$4,$S999-4,0))</f>
        <v/>
      </c>
      <c r="I999" s="294" t="str">
        <f ca="1">IF(ISERROR($S999),"",OFFSET('Smelter Reference List'!$H$4,$S999-4,0))</f>
        <v/>
      </c>
      <c r="J999" s="294" t="str">
        <f ca="1">IF(ISERROR($S999),"",OFFSET('Smelter Reference List'!$I$4,$S999-4,0))</f>
        <v/>
      </c>
      <c r="K999" s="295"/>
      <c r="L999" s="295"/>
      <c r="M999" s="295"/>
      <c r="N999" s="295"/>
      <c r="O999" s="295"/>
      <c r="P999" s="295"/>
      <c r="Q999" s="296"/>
      <c r="R999" s="227"/>
      <c r="S999" s="228" t="e">
        <f>IF(C999="",NA(),MATCH($B999&amp;$C999,'Smelter Reference List'!$J:$J,0))</f>
        <v>#N/A</v>
      </c>
      <c r="T999" s="229"/>
      <c r="U999" s="229">
        <f t="shared" ca="1" si="32"/>
        <v>0</v>
      </c>
      <c r="V999" s="229"/>
      <c r="W999" s="229"/>
      <c r="Y999" s="223" t="str">
        <f t="shared" si="33"/>
        <v/>
      </c>
    </row>
    <row r="1000" spans="1:25" s="223" customFormat="1" ht="20.25">
      <c r="A1000" s="291"/>
      <c r="B1000" s="292" t="str">
        <f>IF(LEN(A1000)=0,"",INDEX('Smelter Reference List'!$A:$A,MATCH($A1000,'Smelter Reference List'!$E:$E,0)))</f>
        <v/>
      </c>
      <c r="C1000" s="298" t="str">
        <f>IF(LEN(A1000)=0,"",INDEX('Smelter Reference List'!$C:$C,MATCH($A1000,'Smelter Reference List'!$E:$E,0)))</f>
        <v/>
      </c>
      <c r="D1000" s="292" t="str">
        <f ca="1">IF(ISERROR($S1000),"",OFFSET('Smelter Reference List'!$C$4,$S1000-4,0)&amp;"")</f>
        <v/>
      </c>
      <c r="E1000" s="292" t="str">
        <f ca="1">IF(ISERROR($S1000),"",OFFSET('Smelter Reference List'!$D$4,$S1000-4,0)&amp;"")</f>
        <v/>
      </c>
      <c r="F1000" s="292" t="str">
        <f ca="1">IF(ISERROR($S1000),"",OFFSET('Smelter Reference List'!$E$4,$S1000-4,0))</f>
        <v/>
      </c>
      <c r="G1000" s="292" t="str">
        <f ca="1">IF(C1000=$U$4,"Enter smelter details", IF(ISERROR($S1000),"",OFFSET('Smelter Reference List'!$F$4,$S1000-4,0)))</f>
        <v/>
      </c>
      <c r="H1000" s="293" t="str">
        <f ca="1">IF(ISERROR($S1000),"",OFFSET('Smelter Reference List'!$G$4,$S1000-4,0))</f>
        <v/>
      </c>
      <c r="I1000" s="294" t="str">
        <f ca="1">IF(ISERROR($S1000),"",OFFSET('Smelter Reference List'!$H$4,$S1000-4,0))</f>
        <v/>
      </c>
      <c r="J1000" s="294" t="str">
        <f ca="1">IF(ISERROR($S1000),"",OFFSET('Smelter Reference List'!$I$4,$S1000-4,0))</f>
        <v/>
      </c>
      <c r="K1000" s="295"/>
      <c r="L1000" s="295"/>
      <c r="M1000" s="295"/>
      <c r="N1000" s="295"/>
      <c r="O1000" s="295"/>
      <c r="P1000" s="295"/>
      <c r="Q1000" s="296"/>
      <c r="R1000" s="227"/>
      <c r="S1000" s="228" t="e">
        <f>IF(C1000="",NA(),MATCH($B1000&amp;$C1000,'Smelter Reference List'!$J:$J,0))</f>
        <v>#N/A</v>
      </c>
      <c r="T1000" s="229"/>
      <c r="U1000" s="229">
        <f t="shared" ca="1" si="32"/>
        <v>0</v>
      </c>
      <c r="V1000" s="229"/>
      <c r="W1000" s="229"/>
      <c r="Y1000" s="223" t="str">
        <f t="shared" si="33"/>
        <v/>
      </c>
    </row>
    <row r="1001" spans="1:25" s="223" customFormat="1" ht="20.25">
      <c r="A1001" s="291"/>
      <c r="B1001" s="292" t="str">
        <f>IF(LEN(A1001)=0,"",INDEX('Smelter Reference List'!$A:$A,MATCH($A1001,'Smelter Reference List'!$E:$E,0)))</f>
        <v/>
      </c>
      <c r="C1001" s="298" t="str">
        <f>IF(LEN(A1001)=0,"",INDEX('Smelter Reference List'!$C:$C,MATCH($A1001,'Smelter Reference List'!$E:$E,0)))</f>
        <v/>
      </c>
      <c r="D1001" s="292" t="str">
        <f ca="1">IF(ISERROR($S1001),"",OFFSET('Smelter Reference List'!$C$4,$S1001-4,0)&amp;"")</f>
        <v/>
      </c>
      <c r="E1001" s="292" t="str">
        <f ca="1">IF(ISERROR($S1001),"",OFFSET('Smelter Reference List'!$D$4,$S1001-4,0)&amp;"")</f>
        <v/>
      </c>
      <c r="F1001" s="292" t="str">
        <f ca="1">IF(ISERROR($S1001),"",OFFSET('Smelter Reference List'!$E$4,$S1001-4,0))</f>
        <v/>
      </c>
      <c r="G1001" s="292" t="str">
        <f ca="1">IF(C1001=$U$4,"Enter smelter details", IF(ISERROR($S1001),"",OFFSET('Smelter Reference List'!$F$4,$S1001-4,0)))</f>
        <v/>
      </c>
      <c r="H1001" s="293" t="str">
        <f ca="1">IF(ISERROR($S1001),"",OFFSET('Smelter Reference List'!$G$4,$S1001-4,0))</f>
        <v/>
      </c>
      <c r="I1001" s="294" t="str">
        <f ca="1">IF(ISERROR($S1001),"",OFFSET('Smelter Reference List'!$H$4,$S1001-4,0))</f>
        <v/>
      </c>
      <c r="J1001" s="294" t="str">
        <f ca="1">IF(ISERROR($S1001),"",OFFSET('Smelter Reference List'!$I$4,$S1001-4,0))</f>
        <v/>
      </c>
      <c r="K1001" s="295"/>
      <c r="L1001" s="295"/>
      <c r="M1001" s="295"/>
      <c r="N1001" s="295"/>
      <c r="O1001" s="295"/>
      <c r="P1001" s="295"/>
      <c r="Q1001" s="296"/>
      <c r="R1001" s="227"/>
      <c r="S1001" s="228" t="e">
        <f>IF(C1001="",NA(),MATCH($B1001&amp;$C1001,'Smelter Reference List'!$J:$J,0))</f>
        <v>#N/A</v>
      </c>
      <c r="T1001" s="229"/>
      <c r="U1001" s="229">
        <f t="shared" ca="1" si="32"/>
        <v>0</v>
      </c>
      <c r="V1001" s="229"/>
      <c r="W1001" s="229"/>
      <c r="Y1001" s="223" t="str">
        <f t="shared" si="33"/>
        <v/>
      </c>
    </row>
    <row r="1002" spans="1:25" s="223" customFormat="1" ht="20.25">
      <c r="A1002" s="291"/>
      <c r="B1002" s="292" t="str">
        <f>IF(LEN(A1002)=0,"",INDEX('Smelter Reference List'!$A:$A,MATCH($A1002,'Smelter Reference List'!$E:$E,0)))</f>
        <v/>
      </c>
      <c r="C1002" s="298" t="str">
        <f>IF(LEN(A1002)=0,"",INDEX('Smelter Reference List'!$C:$C,MATCH($A1002,'Smelter Reference List'!$E:$E,0)))</f>
        <v/>
      </c>
      <c r="D1002" s="292" t="str">
        <f ca="1">IF(ISERROR($S1002),"",OFFSET('Smelter Reference List'!$C$4,$S1002-4,0)&amp;"")</f>
        <v/>
      </c>
      <c r="E1002" s="292" t="str">
        <f ca="1">IF(ISERROR($S1002),"",OFFSET('Smelter Reference List'!$D$4,$S1002-4,0)&amp;"")</f>
        <v/>
      </c>
      <c r="F1002" s="292" t="str">
        <f ca="1">IF(ISERROR($S1002),"",OFFSET('Smelter Reference List'!$E$4,$S1002-4,0))</f>
        <v/>
      </c>
      <c r="G1002" s="292" t="str">
        <f ca="1">IF(C1002=$U$4,"Enter smelter details", IF(ISERROR($S1002),"",OFFSET('Smelter Reference List'!$F$4,$S1002-4,0)))</f>
        <v/>
      </c>
      <c r="H1002" s="293" t="str">
        <f ca="1">IF(ISERROR($S1002),"",OFFSET('Smelter Reference List'!$G$4,$S1002-4,0))</f>
        <v/>
      </c>
      <c r="I1002" s="294" t="str">
        <f ca="1">IF(ISERROR($S1002),"",OFFSET('Smelter Reference List'!$H$4,$S1002-4,0))</f>
        <v/>
      </c>
      <c r="J1002" s="294" t="str">
        <f ca="1">IF(ISERROR($S1002),"",OFFSET('Smelter Reference List'!$I$4,$S1002-4,0))</f>
        <v/>
      </c>
      <c r="K1002" s="295"/>
      <c r="L1002" s="295"/>
      <c r="M1002" s="295"/>
      <c r="N1002" s="295"/>
      <c r="O1002" s="295"/>
      <c r="P1002" s="295"/>
      <c r="Q1002" s="296"/>
      <c r="R1002" s="227"/>
      <c r="S1002" s="228" t="e">
        <f>IF(C1002="",NA(),MATCH($B1002&amp;$C1002,'Smelter Reference List'!$J:$J,0))</f>
        <v>#N/A</v>
      </c>
      <c r="T1002" s="229"/>
      <c r="U1002" s="229">
        <f t="shared" ca="1" si="32"/>
        <v>0</v>
      </c>
      <c r="V1002" s="229"/>
      <c r="W1002" s="229"/>
      <c r="Y1002" s="223" t="str">
        <f t="shared" si="33"/>
        <v/>
      </c>
    </row>
    <row r="1003" spans="1:25" s="223" customFormat="1" ht="20.25">
      <c r="A1003" s="291"/>
      <c r="B1003" s="292" t="str">
        <f>IF(LEN(A1003)=0,"",INDEX('Smelter Reference List'!$A:$A,MATCH($A1003,'Smelter Reference List'!$E:$E,0)))</f>
        <v/>
      </c>
      <c r="C1003" s="298" t="str">
        <f>IF(LEN(A1003)=0,"",INDEX('Smelter Reference List'!$C:$C,MATCH($A1003,'Smelter Reference List'!$E:$E,0)))</f>
        <v/>
      </c>
      <c r="D1003" s="292" t="str">
        <f ca="1">IF(ISERROR($S1003),"",OFFSET('Smelter Reference List'!$C$4,$S1003-4,0)&amp;"")</f>
        <v/>
      </c>
      <c r="E1003" s="292" t="str">
        <f ca="1">IF(ISERROR($S1003),"",OFFSET('Smelter Reference List'!$D$4,$S1003-4,0)&amp;"")</f>
        <v/>
      </c>
      <c r="F1003" s="292" t="str">
        <f ca="1">IF(ISERROR($S1003),"",OFFSET('Smelter Reference List'!$E$4,$S1003-4,0))</f>
        <v/>
      </c>
      <c r="G1003" s="292" t="str">
        <f ca="1">IF(C1003=$U$4,"Enter smelter details", IF(ISERROR($S1003),"",OFFSET('Smelter Reference List'!$F$4,$S1003-4,0)))</f>
        <v/>
      </c>
      <c r="H1003" s="293" t="str">
        <f ca="1">IF(ISERROR($S1003),"",OFFSET('Smelter Reference List'!$G$4,$S1003-4,0))</f>
        <v/>
      </c>
      <c r="I1003" s="294" t="str">
        <f ca="1">IF(ISERROR($S1003),"",OFFSET('Smelter Reference List'!$H$4,$S1003-4,0))</f>
        <v/>
      </c>
      <c r="J1003" s="294" t="str">
        <f ca="1">IF(ISERROR($S1003),"",OFFSET('Smelter Reference List'!$I$4,$S1003-4,0))</f>
        <v/>
      </c>
      <c r="K1003" s="295"/>
      <c r="L1003" s="295"/>
      <c r="M1003" s="295"/>
      <c r="N1003" s="295"/>
      <c r="O1003" s="295"/>
      <c r="P1003" s="295"/>
      <c r="Q1003" s="296"/>
      <c r="R1003" s="227"/>
      <c r="S1003" s="228" t="e">
        <f>IF(C1003="",NA(),MATCH($B1003&amp;$C1003,'Smelter Reference List'!$J:$J,0))</f>
        <v>#N/A</v>
      </c>
      <c r="T1003" s="229"/>
      <c r="U1003" s="229">
        <f t="shared" ca="1" si="32"/>
        <v>0</v>
      </c>
      <c r="V1003" s="229"/>
      <c r="W1003" s="229"/>
      <c r="Y1003" s="223" t="str">
        <f t="shared" si="33"/>
        <v/>
      </c>
    </row>
    <row r="1004" spans="1:25" s="223" customFormat="1" ht="20.25">
      <c r="A1004" s="291"/>
      <c r="B1004" s="292" t="str">
        <f>IF(LEN(A1004)=0,"",INDEX('Smelter Reference List'!$A:$A,MATCH($A1004,'Smelter Reference List'!$E:$E,0)))</f>
        <v/>
      </c>
      <c r="C1004" s="298" t="str">
        <f>IF(LEN(A1004)=0,"",INDEX('Smelter Reference List'!$C:$C,MATCH($A1004,'Smelter Reference List'!$E:$E,0)))</f>
        <v/>
      </c>
      <c r="D1004" s="292" t="str">
        <f ca="1">IF(ISERROR($S1004),"",OFFSET('Smelter Reference List'!$C$4,$S1004-4,0)&amp;"")</f>
        <v/>
      </c>
      <c r="E1004" s="292" t="str">
        <f ca="1">IF(ISERROR($S1004),"",OFFSET('Smelter Reference List'!$D$4,$S1004-4,0)&amp;"")</f>
        <v/>
      </c>
      <c r="F1004" s="292" t="str">
        <f ca="1">IF(ISERROR($S1004),"",OFFSET('Smelter Reference List'!$E$4,$S1004-4,0))</f>
        <v/>
      </c>
      <c r="G1004" s="292" t="str">
        <f ca="1">IF(C1004=$U$4,"Enter smelter details", IF(ISERROR($S1004),"",OFFSET('Smelter Reference List'!$F$4,$S1004-4,0)))</f>
        <v/>
      </c>
      <c r="H1004" s="293" t="str">
        <f ca="1">IF(ISERROR($S1004),"",OFFSET('Smelter Reference List'!$G$4,$S1004-4,0))</f>
        <v/>
      </c>
      <c r="I1004" s="294" t="str">
        <f ca="1">IF(ISERROR($S1004),"",OFFSET('Smelter Reference List'!$H$4,$S1004-4,0))</f>
        <v/>
      </c>
      <c r="J1004" s="294" t="str">
        <f ca="1">IF(ISERROR($S1004),"",OFFSET('Smelter Reference List'!$I$4,$S1004-4,0))</f>
        <v/>
      </c>
      <c r="K1004" s="295"/>
      <c r="L1004" s="295"/>
      <c r="M1004" s="295"/>
      <c r="N1004" s="295"/>
      <c r="O1004" s="295"/>
      <c r="P1004" s="295"/>
      <c r="Q1004" s="296"/>
      <c r="R1004" s="227"/>
      <c r="S1004" s="228" t="e">
        <f>IF(C1004="",NA(),MATCH($B1004&amp;$C1004,'Smelter Reference List'!$J:$J,0))</f>
        <v>#N/A</v>
      </c>
      <c r="T1004" s="229"/>
      <c r="U1004" s="229">
        <f t="shared" ca="1" si="32"/>
        <v>0</v>
      </c>
      <c r="V1004" s="229"/>
      <c r="W1004" s="229"/>
      <c r="Y1004" s="223" t="str">
        <f t="shared" si="33"/>
        <v/>
      </c>
    </row>
    <row r="1005" spans="1:25" s="223" customFormat="1" ht="20.25">
      <c r="A1005" s="291"/>
      <c r="B1005" s="292" t="str">
        <f>IF(LEN(A1005)=0,"",INDEX('Smelter Reference List'!$A:$A,MATCH($A1005,'Smelter Reference List'!$E:$E,0)))</f>
        <v/>
      </c>
      <c r="C1005" s="298" t="str">
        <f>IF(LEN(A1005)=0,"",INDEX('Smelter Reference List'!$C:$C,MATCH($A1005,'Smelter Reference List'!$E:$E,0)))</f>
        <v/>
      </c>
      <c r="D1005" s="292" t="str">
        <f ca="1">IF(ISERROR($S1005),"",OFFSET('Smelter Reference List'!$C$4,$S1005-4,0)&amp;"")</f>
        <v/>
      </c>
      <c r="E1005" s="292" t="str">
        <f ca="1">IF(ISERROR($S1005),"",OFFSET('Smelter Reference List'!$D$4,$S1005-4,0)&amp;"")</f>
        <v/>
      </c>
      <c r="F1005" s="292" t="str">
        <f ca="1">IF(ISERROR($S1005),"",OFFSET('Smelter Reference List'!$E$4,$S1005-4,0))</f>
        <v/>
      </c>
      <c r="G1005" s="292" t="str">
        <f ca="1">IF(C1005=$U$4,"Enter smelter details", IF(ISERROR($S1005),"",OFFSET('Smelter Reference List'!$F$4,$S1005-4,0)))</f>
        <v/>
      </c>
      <c r="H1005" s="293" t="str">
        <f ca="1">IF(ISERROR($S1005),"",OFFSET('Smelter Reference List'!$G$4,$S1005-4,0))</f>
        <v/>
      </c>
      <c r="I1005" s="294" t="str">
        <f ca="1">IF(ISERROR($S1005),"",OFFSET('Smelter Reference List'!$H$4,$S1005-4,0))</f>
        <v/>
      </c>
      <c r="J1005" s="294" t="str">
        <f ca="1">IF(ISERROR($S1005),"",OFFSET('Smelter Reference List'!$I$4,$S1005-4,0))</f>
        <v/>
      </c>
      <c r="K1005" s="295"/>
      <c r="L1005" s="295"/>
      <c r="M1005" s="295"/>
      <c r="N1005" s="295"/>
      <c r="O1005" s="295"/>
      <c r="P1005" s="295"/>
      <c r="Q1005" s="296"/>
      <c r="R1005" s="227"/>
      <c r="S1005" s="228" t="e">
        <f>IF(C1005="",NA(),MATCH($B1005&amp;$C1005,'Smelter Reference List'!$J:$J,0))</f>
        <v>#N/A</v>
      </c>
      <c r="T1005" s="229"/>
      <c r="U1005" s="229">
        <f t="shared" ca="1" si="32"/>
        <v>0</v>
      </c>
      <c r="V1005" s="229"/>
      <c r="W1005" s="229"/>
      <c r="Y1005" s="223" t="str">
        <f t="shared" si="33"/>
        <v/>
      </c>
    </row>
    <row r="1006" spans="1:25" s="223" customFormat="1" ht="20.25">
      <c r="A1006" s="291"/>
      <c r="B1006" s="292" t="str">
        <f>IF(LEN(A1006)=0,"",INDEX('Smelter Reference List'!$A:$A,MATCH($A1006,'Smelter Reference List'!$E:$E,0)))</f>
        <v/>
      </c>
      <c r="C1006" s="298" t="str">
        <f>IF(LEN(A1006)=0,"",INDEX('Smelter Reference List'!$C:$C,MATCH($A1006,'Smelter Reference List'!$E:$E,0)))</f>
        <v/>
      </c>
      <c r="D1006" s="292" t="str">
        <f ca="1">IF(ISERROR($S1006),"",OFFSET('Smelter Reference List'!$C$4,$S1006-4,0)&amp;"")</f>
        <v/>
      </c>
      <c r="E1006" s="292" t="str">
        <f ca="1">IF(ISERROR($S1006),"",OFFSET('Smelter Reference List'!$D$4,$S1006-4,0)&amp;"")</f>
        <v/>
      </c>
      <c r="F1006" s="292" t="str">
        <f ca="1">IF(ISERROR($S1006),"",OFFSET('Smelter Reference List'!$E$4,$S1006-4,0))</f>
        <v/>
      </c>
      <c r="G1006" s="292" t="str">
        <f ca="1">IF(C1006=$U$4,"Enter smelter details", IF(ISERROR($S1006),"",OFFSET('Smelter Reference List'!$F$4,$S1006-4,0)))</f>
        <v/>
      </c>
      <c r="H1006" s="293" t="str">
        <f ca="1">IF(ISERROR($S1006),"",OFFSET('Smelter Reference List'!$G$4,$S1006-4,0))</f>
        <v/>
      </c>
      <c r="I1006" s="294" t="str">
        <f ca="1">IF(ISERROR($S1006),"",OFFSET('Smelter Reference List'!$H$4,$S1006-4,0))</f>
        <v/>
      </c>
      <c r="J1006" s="294" t="str">
        <f ca="1">IF(ISERROR($S1006),"",OFFSET('Smelter Reference List'!$I$4,$S1006-4,0))</f>
        <v/>
      </c>
      <c r="K1006" s="295"/>
      <c r="L1006" s="295"/>
      <c r="M1006" s="295"/>
      <c r="N1006" s="295"/>
      <c r="O1006" s="295"/>
      <c r="P1006" s="295"/>
      <c r="Q1006" s="296"/>
      <c r="R1006" s="227"/>
      <c r="S1006" s="228" t="e">
        <f>IF(C1006="",NA(),MATCH($B1006&amp;$C1006,'Smelter Reference List'!$J:$J,0))</f>
        <v>#N/A</v>
      </c>
      <c r="T1006" s="229"/>
      <c r="U1006" s="229">
        <f t="shared" ca="1" si="32"/>
        <v>0</v>
      </c>
      <c r="V1006" s="229"/>
      <c r="W1006" s="229"/>
      <c r="Y1006" s="223" t="str">
        <f t="shared" si="33"/>
        <v/>
      </c>
    </row>
    <row r="1007" spans="1:25" s="223" customFormat="1" ht="20.25">
      <c r="A1007" s="291"/>
      <c r="B1007" s="292" t="str">
        <f>IF(LEN(A1007)=0,"",INDEX('Smelter Reference List'!$A:$A,MATCH($A1007,'Smelter Reference List'!$E:$E,0)))</f>
        <v/>
      </c>
      <c r="C1007" s="298" t="str">
        <f>IF(LEN(A1007)=0,"",INDEX('Smelter Reference List'!$C:$C,MATCH($A1007,'Smelter Reference List'!$E:$E,0)))</f>
        <v/>
      </c>
      <c r="D1007" s="292" t="str">
        <f ca="1">IF(ISERROR($S1007),"",OFFSET('Smelter Reference List'!$C$4,$S1007-4,0)&amp;"")</f>
        <v/>
      </c>
      <c r="E1007" s="292" t="str">
        <f ca="1">IF(ISERROR($S1007),"",OFFSET('Smelter Reference List'!$D$4,$S1007-4,0)&amp;"")</f>
        <v/>
      </c>
      <c r="F1007" s="292" t="str">
        <f ca="1">IF(ISERROR($S1007),"",OFFSET('Smelter Reference List'!$E$4,$S1007-4,0))</f>
        <v/>
      </c>
      <c r="G1007" s="292" t="str">
        <f ca="1">IF(C1007=$U$4,"Enter smelter details", IF(ISERROR($S1007),"",OFFSET('Smelter Reference List'!$F$4,$S1007-4,0)))</f>
        <v/>
      </c>
      <c r="H1007" s="293" t="str">
        <f ca="1">IF(ISERROR($S1007),"",OFFSET('Smelter Reference List'!$G$4,$S1007-4,0))</f>
        <v/>
      </c>
      <c r="I1007" s="294" t="str">
        <f ca="1">IF(ISERROR($S1007),"",OFFSET('Smelter Reference List'!$H$4,$S1007-4,0))</f>
        <v/>
      </c>
      <c r="J1007" s="294" t="str">
        <f ca="1">IF(ISERROR($S1007),"",OFFSET('Smelter Reference List'!$I$4,$S1007-4,0))</f>
        <v/>
      </c>
      <c r="K1007" s="295"/>
      <c r="L1007" s="295"/>
      <c r="M1007" s="295"/>
      <c r="N1007" s="295"/>
      <c r="O1007" s="295"/>
      <c r="P1007" s="295"/>
      <c r="Q1007" s="296"/>
      <c r="R1007" s="227"/>
      <c r="S1007" s="228" t="e">
        <f>IF(C1007="",NA(),MATCH($B1007&amp;$C1007,'Smelter Reference List'!$J:$J,0))</f>
        <v>#N/A</v>
      </c>
      <c r="T1007" s="229"/>
      <c r="U1007" s="229">
        <f t="shared" ca="1" si="32"/>
        <v>0</v>
      </c>
      <c r="V1007" s="229"/>
      <c r="W1007" s="229"/>
      <c r="Y1007" s="223" t="str">
        <f t="shared" si="33"/>
        <v/>
      </c>
    </row>
    <row r="1008" spans="1:25" s="223" customFormat="1" ht="20.25">
      <c r="A1008" s="291"/>
      <c r="B1008" s="292" t="str">
        <f>IF(LEN(A1008)=0,"",INDEX('Smelter Reference List'!$A:$A,MATCH($A1008,'Smelter Reference List'!$E:$E,0)))</f>
        <v/>
      </c>
      <c r="C1008" s="298" t="str">
        <f>IF(LEN(A1008)=0,"",INDEX('Smelter Reference List'!$C:$C,MATCH($A1008,'Smelter Reference List'!$E:$E,0)))</f>
        <v/>
      </c>
      <c r="D1008" s="292" t="str">
        <f ca="1">IF(ISERROR($S1008),"",OFFSET('Smelter Reference List'!$C$4,$S1008-4,0)&amp;"")</f>
        <v/>
      </c>
      <c r="E1008" s="292" t="str">
        <f ca="1">IF(ISERROR($S1008),"",OFFSET('Smelter Reference List'!$D$4,$S1008-4,0)&amp;"")</f>
        <v/>
      </c>
      <c r="F1008" s="292" t="str">
        <f ca="1">IF(ISERROR($S1008),"",OFFSET('Smelter Reference List'!$E$4,$S1008-4,0))</f>
        <v/>
      </c>
      <c r="G1008" s="292" t="str">
        <f ca="1">IF(C1008=$U$4,"Enter smelter details", IF(ISERROR($S1008),"",OFFSET('Smelter Reference List'!$F$4,$S1008-4,0)))</f>
        <v/>
      </c>
      <c r="H1008" s="293" t="str">
        <f ca="1">IF(ISERROR($S1008),"",OFFSET('Smelter Reference List'!$G$4,$S1008-4,0))</f>
        <v/>
      </c>
      <c r="I1008" s="294" t="str">
        <f ca="1">IF(ISERROR($S1008),"",OFFSET('Smelter Reference List'!$H$4,$S1008-4,0))</f>
        <v/>
      </c>
      <c r="J1008" s="294" t="str">
        <f ca="1">IF(ISERROR($S1008),"",OFFSET('Smelter Reference List'!$I$4,$S1008-4,0))</f>
        <v/>
      </c>
      <c r="K1008" s="295"/>
      <c r="L1008" s="295"/>
      <c r="M1008" s="295"/>
      <c r="N1008" s="295"/>
      <c r="O1008" s="295"/>
      <c r="P1008" s="295"/>
      <c r="Q1008" s="296"/>
      <c r="R1008" s="227"/>
      <c r="S1008" s="228" t="e">
        <f>IF(C1008="",NA(),MATCH($B1008&amp;$C1008,'Smelter Reference List'!$J:$J,0))</f>
        <v>#N/A</v>
      </c>
      <c r="T1008" s="229"/>
      <c r="U1008" s="229">
        <f t="shared" ca="1" si="32"/>
        <v>0</v>
      </c>
      <c r="V1008" s="229"/>
      <c r="W1008" s="229"/>
      <c r="Y1008" s="223" t="str">
        <f t="shared" si="33"/>
        <v/>
      </c>
    </row>
    <row r="1009" spans="1:25" s="223" customFormat="1" ht="20.25">
      <c r="A1009" s="291"/>
      <c r="B1009" s="292" t="str">
        <f>IF(LEN(A1009)=0,"",INDEX('Smelter Reference List'!$A:$A,MATCH($A1009,'Smelter Reference List'!$E:$E,0)))</f>
        <v/>
      </c>
      <c r="C1009" s="298" t="str">
        <f>IF(LEN(A1009)=0,"",INDEX('Smelter Reference List'!$C:$C,MATCH($A1009,'Smelter Reference List'!$E:$E,0)))</f>
        <v/>
      </c>
      <c r="D1009" s="292" t="str">
        <f ca="1">IF(ISERROR($S1009),"",OFFSET('Smelter Reference List'!$C$4,$S1009-4,0)&amp;"")</f>
        <v/>
      </c>
      <c r="E1009" s="292" t="str">
        <f ca="1">IF(ISERROR($S1009),"",OFFSET('Smelter Reference List'!$D$4,$S1009-4,0)&amp;"")</f>
        <v/>
      </c>
      <c r="F1009" s="292" t="str">
        <f ca="1">IF(ISERROR($S1009),"",OFFSET('Smelter Reference List'!$E$4,$S1009-4,0))</f>
        <v/>
      </c>
      <c r="G1009" s="292" t="str">
        <f ca="1">IF(C1009=$U$4,"Enter smelter details", IF(ISERROR($S1009),"",OFFSET('Smelter Reference List'!$F$4,$S1009-4,0)))</f>
        <v/>
      </c>
      <c r="H1009" s="293" t="str">
        <f ca="1">IF(ISERROR($S1009),"",OFFSET('Smelter Reference List'!$G$4,$S1009-4,0))</f>
        <v/>
      </c>
      <c r="I1009" s="294" t="str">
        <f ca="1">IF(ISERROR($S1009),"",OFFSET('Smelter Reference List'!$H$4,$S1009-4,0))</f>
        <v/>
      </c>
      <c r="J1009" s="294" t="str">
        <f ca="1">IF(ISERROR($S1009),"",OFFSET('Smelter Reference List'!$I$4,$S1009-4,0))</f>
        <v/>
      </c>
      <c r="K1009" s="295"/>
      <c r="L1009" s="295"/>
      <c r="M1009" s="295"/>
      <c r="N1009" s="295"/>
      <c r="O1009" s="295"/>
      <c r="P1009" s="295"/>
      <c r="Q1009" s="296"/>
      <c r="R1009" s="227"/>
      <c r="S1009" s="228" t="e">
        <f>IF(C1009="",NA(),MATCH($B1009&amp;$C1009,'Smelter Reference List'!$J:$J,0))</f>
        <v>#N/A</v>
      </c>
      <c r="T1009" s="229"/>
      <c r="U1009" s="229">
        <f t="shared" ca="1" si="32"/>
        <v>0</v>
      </c>
      <c r="V1009" s="229"/>
      <c r="W1009" s="229"/>
      <c r="Y1009" s="223" t="str">
        <f t="shared" si="33"/>
        <v/>
      </c>
    </row>
    <row r="1010" spans="1:25" s="223" customFormat="1" ht="20.25">
      <c r="A1010" s="291"/>
      <c r="B1010" s="292" t="str">
        <f>IF(LEN(A1010)=0,"",INDEX('Smelter Reference List'!$A:$A,MATCH($A1010,'Smelter Reference List'!$E:$E,0)))</f>
        <v/>
      </c>
      <c r="C1010" s="298" t="str">
        <f>IF(LEN(A1010)=0,"",INDEX('Smelter Reference List'!$C:$C,MATCH($A1010,'Smelter Reference List'!$E:$E,0)))</f>
        <v/>
      </c>
      <c r="D1010" s="292" t="str">
        <f ca="1">IF(ISERROR($S1010),"",OFFSET('Smelter Reference List'!$C$4,$S1010-4,0)&amp;"")</f>
        <v/>
      </c>
      <c r="E1010" s="292" t="str">
        <f ca="1">IF(ISERROR($S1010),"",OFFSET('Smelter Reference List'!$D$4,$S1010-4,0)&amp;"")</f>
        <v/>
      </c>
      <c r="F1010" s="292" t="str">
        <f ca="1">IF(ISERROR($S1010),"",OFFSET('Smelter Reference List'!$E$4,$S1010-4,0))</f>
        <v/>
      </c>
      <c r="G1010" s="292" t="str">
        <f ca="1">IF(C1010=$U$4,"Enter smelter details", IF(ISERROR($S1010),"",OFFSET('Smelter Reference List'!$F$4,$S1010-4,0)))</f>
        <v/>
      </c>
      <c r="H1010" s="293" t="str">
        <f ca="1">IF(ISERROR($S1010),"",OFFSET('Smelter Reference List'!$G$4,$S1010-4,0))</f>
        <v/>
      </c>
      <c r="I1010" s="294" t="str">
        <f ca="1">IF(ISERROR($S1010),"",OFFSET('Smelter Reference List'!$H$4,$S1010-4,0))</f>
        <v/>
      </c>
      <c r="J1010" s="294" t="str">
        <f ca="1">IF(ISERROR($S1010),"",OFFSET('Smelter Reference List'!$I$4,$S1010-4,0))</f>
        <v/>
      </c>
      <c r="K1010" s="295"/>
      <c r="L1010" s="295"/>
      <c r="M1010" s="295"/>
      <c r="N1010" s="295"/>
      <c r="O1010" s="295"/>
      <c r="P1010" s="295"/>
      <c r="Q1010" s="296"/>
      <c r="R1010" s="227"/>
      <c r="S1010" s="228" t="e">
        <f>IF(C1010="",NA(),MATCH($B1010&amp;$C1010,'Smelter Reference List'!$J:$J,0))</f>
        <v>#N/A</v>
      </c>
      <c r="T1010" s="229"/>
      <c r="U1010" s="229">
        <f t="shared" ca="1" si="32"/>
        <v>0</v>
      </c>
      <c r="V1010" s="229"/>
      <c r="W1010" s="229"/>
      <c r="Y1010" s="223" t="str">
        <f t="shared" si="33"/>
        <v/>
      </c>
    </row>
    <row r="1011" spans="1:25" s="223" customFormat="1" ht="20.25">
      <c r="A1011" s="291"/>
      <c r="B1011" s="292" t="str">
        <f>IF(LEN(A1011)=0,"",INDEX('Smelter Reference List'!$A:$A,MATCH($A1011,'Smelter Reference List'!$E:$E,0)))</f>
        <v/>
      </c>
      <c r="C1011" s="298" t="str">
        <f>IF(LEN(A1011)=0,"",INDEX('Smelter Reference List'!$C:$C,MATCH($A1011,'Smelter Reference List'!$E:$E,0)))</f>
        <v/>
      </c>
      <c r="D1011" s="292" t="str">
        <f ca="1">IF(ISERROR($S1011),"",OFFSET('Smelter Reference List'!$C$4,$S1011-4,0)&amp;"")</f>
        <v/>
      </c>
      <c r="E1011" s="292" t="str">
        <f ca="1">IF(ISERROR($S1011),"",OFFSET('Smelter Reference List'!$D$4,$S1011-4,0)&amp;"")</f>
        <v/>
      </c>
      <c r="F1011" s="292" t="str">
        <f ca="1">IF(ISERROR($S1011),"",OFFSET('Smelter Reference List'!$E$4,$S1011-4,0))</f>
        <v/>
      </c>
      <c r="G1011" s="292" t="str">
        <f ca="1">IF(C1011=$U$4,"Enter smelter details", IF(ISERROR($S1011),"",OFFSET('Smelter Reference List'!$F$4,$S1011-4,0)))</f>
        <v/>
      </c>
      <c r="H1011" s="293" t="str">
        <f ca="1">IF(ISERROR($S1011),"",OFFSET('Smelter Reference List'!$G$4,$S1011-4,0))</f>
        <v/>
      </c>
      <c r="I1011" s="294" t="str">
        <f ca="1">IF(ISERROR($S1011),"",OFFSET('Smelter Reference List'!$H$4,$S1011-4,0))</f>
        <v/>
      </c>
      <c r="J1011" s="294" t="str">
        <f ca="1">IF(ISERROR($S1011),"",OFFSET('Smelter Reference List'!$I$4,$S1011-4,0))</f>
        <v/>
      </c>
      <c r="K1011" s="295"/>
      <c r="L1011" s="295"/>
      <c r="M1011" s="295"/>
      <c r="N1011" s="295"/>
      <c r="O1011" s="295"/>
      <c r="P1011" s="295"/>
      <c r="Q1011" s="296"/>
      <c r="R1011" s="227"/>
      <c r="S1011" s="228" t="e">
        <f>IF(C1011="",NA(),MATCH($B1011&amp;$C1011,'Smelter Reference List'!$J:$J,0))</f>
        <v>#N/A</v>
      </c>
      <c r="T1011" s="229"/>
      <c r="U1011" s="229">
        <f t="shared" ca="1" si="32"/>
        <v>0</v>
      </c>
      <c r="V1011" s="229"/>
      <c r="W1011" s="229"/>
      <c r="Y1011" s="223" t="str">
        <f t="shared" si="33"/>
        <v/>
      </c>
    </row>
    <row r="1012" spans="1:25" s="223" customFormat="1" ht="20.25">
      <c r="A1012" s="291"/>
      <c r="B1012" s="292" t="str">
        <f>IF(LEN(A1012)=0,"",INDEX('Smelter Reference List'!$A:$A,MATCH($A1012,'Smelter Reference List'!$E:$E,0)))</f>
        <v/>
      </c>
      <c r="C1012" s="298" t="str">
        <f>IF(LEN(A1012)=0,"",INDEX('Smelter Reference List'!$C:$C,MATCH($A1012,'Smelter Reference List'!$E:$E,0)))</f>
        <v/>
      </c>
      <c r="D1012" s="292" t="str">
        <f ca="1">IF(ISERROR($S1012),"",OFFSET('Smelter Reference List'!$C$4,$S1012-4,0)&amp;"")</f>
        <v/>
      </c>
      <c r="E1012" s="292" t="str">
        <f ca="1">IF(ISERROR($S1012),"",OFFSET('Smelter Reference List'!$D$4,$S1012-4,0)&amp;"")</f>
        <v/>
      </c>
      <c r="F1012" s="292" t="str">
        <f ca="1">IF(ISERROR($S1012),"",OFFSET('Smelter Reference List'!$E$4,$S1012-4,0))</f>
        <v/>
      </c>
      <c r="G1012" s="292" t="str">
        <f ca="1">IF(C1012=$U$4,"Enter smelter details", IF(ISERROR($S1012),"",OFFSET('Smelter Reference List'!$F$4,$S1012-4,0)))</f>
        <v/>
      </c>
      <c r="H1012" s="293" t="str">
        <f ca="1">IF(ISERROR($S1012),"",OFFSET('Smelter Reference List'!$G$4,$S1012-4,0))</f>
        <v/>
      </c>
      <c r="I1012" s="294" t="str">
        <f ca="1">IF(ISERROR($S1012),"",OFFSET('Smelter Reference List'!$H$4,$S1012-4,0))</f>
        <v/>
      </c>
      <c r="J1012" s="294" t="str">
        <f ca="1">IF(ISERROR($S1012),"",OFFSET('Smelter Reference List'!$I$4,$S1012-4,0))</f>
        <v/>
      </c>
      <c r="K1012" s="295"/>
      <c r="L1012" s="295"/>
      <c r="M1012" s="295"/>
      <c r="N1012" s="295"/>
      <c r="O1012" s="295"/>
      <c r="P1012" s="295"/>
      <c r="Q1012" s="296"/>
      <c r="R1012" s="227"/>
      <c r="S1012" s="228" t="e">
        <f>IF(C1012="",NA(),MATCH($B1012&amp;$C1012,'Smelter Reference List'!$J:$J,0))</f>
        <v>#N/A</v>
      </c>
      <c r="T1012" s="229"/>
      <c r="U1012" s="229">
        <f t="shared" ca="1" si="32"/>
        <v>0</v>
      </c>
      <c r="V1012" s="229"/>
      <c r="W1012" s="229"/>
      <c r="Y1012" s="223" t="str">
        <f t="shared" si="33"/>
        <v/>
      </c>
    </row>
    <row r="1013" spans="1:25" s="223" customFormat="1" ht="20.25">
      <c r="A1013" s="291"/>
      <c r="B1013" s="292" t="str">
        <f>IF(LEN(A1013)=0,"",INDEX('Smelter Reference List'!$A:$A,MATCH($A1013,'Smelter Reference List'!$E:$E,0)))</f>
        <v/>
      </c>
      <c r="C1013" s="298" t="str">
        <f>IF(LEN(A1013)=0,"",INDEX('Smelter Reference List'!$C:$C,MATCH($A1013,'Smelter Reference List'!$E:$E,0)))</f>
        <v/>
      </c>
      <c r="D1013" s="292" t="str">
        <f ca="1">IF(ISERROR($S1013),"",OFFSET('Smelter Reference List'!$C$4,$S1013-4,0)&amp;"")</f>
        <v/>
      </c>
      <c r="E1013" s="292" t="str">
        <f ca="1">IF(ISERROR($S1013),"",OFFSET('Smelter Reference List'!$D$4,$S1013-4,0)&amp;"")</f>
        <v/>
      </c>
      <c r="F1013" s="292" t="str">
        <f ca="1">IF(ISERROR($S1013),"",OFFSET('Smelter Reference List'!$E$4,$S1013-4,0))</f>
        <v/>
      </c>
      <c r="G1013" s="292" t="str">
        <f ca="1">IF(C1013=$U$4,"Enter smelter details", IF(ISERROR($S1013),"",OFFSET('Smelter Reference List'!$F$4,$S1013-4,0)))</f>
        <v/>
      </c>
      <c r="H1013" s="293" t="str">
        <f ca="1">IF(ISERROR($S1013),"",OFFSET('Smelter Reference List'!$G$4,$S1013-4,0))</f>
        <v/>
      </c>
      <c r="I1013" s="294" t="str">
        <f ca="1">IF(ISERROR($S1013),"",OFFSET('Smelter Reference List'!$H$4,$S1013-4,0))</f>
        <v/>
      </c>
      <c r="J1013" s="294" t="str">
        <f ca="1">IF(ISERROR($S1013),"",OFFSET('Smelter Reference List'!$I$4,$S1013-4,0))</f>
        <v/>
      </c>
      <c r="K1013" s="295"/>
      <c r="L1013" s="295"/>
      <c r="M1013" s="295"/>
      <c r="N1013" s="295"/>
      <c r="O1013" s="295"/>
      <c r="P1013" s="295"/>
      <c r="Q1013" s="296"/>
      <c r="R1013" s="227"/>
      <c r="S1013" s="228" t="e">
        <f>IF(C1013="",NA(),MATCH($B1013&amp;$C1013,'Smelter Reference List'!$J:$J,0))</f>
        <v>#N/A</v>
      </c>
      <c r="T1013" s="229"/>
      <c r="U1013" s="229">
        <f t="shared" ca="1" si="32"/>
        <v>0</v>
      </c>
      <c r="V1013" s="229"/>
      <c r="W1013" s="229"/>
      <c r="Y1013" s="223" t="str">
        <f t="shared" si="33"/>
        <v/>
      </c>
    </row>
    <row r="1014" spans="1:25" s="223" customFormat="1" ht="20.25">
      <c r="A1014" s="291"/>
      <c r="B1014" s="292" t="str">
        <f>IF(LEN(A1014)=0,"",INDEX('Smelter Reference List'!$A:$A,MATCH($A1014,'Smelter Reference List'!$E:$E,0)))</f>
        <v/>
      </c>
      <c r="C1014" s="298" t="str">
        <f>IF(LEN(A1014)=0,"",INDEX('Smelter Reference List'!$C:$C,MATCH($A1014,'Smelter Reference List'!$E:$E,0)))</f>
        <v/>
      </c>
      <c r="D1014" s="292" t="str">
        <f ca="1">IF(ISERROR($S1014),"",OFFSET('Smelter Reference List'!$C$4,$S1014-4,0)&amp;"")</f>
        <v/>
      </c>
      <c r="E1014" s="292" t="str">
        <f ca="1">IF(ISERROR($S1014),"",OFFSET('Smelter Reference List'!$D$4,$S1014-4,0)&amp;"")</f>
        <v/>
      </c>
      <c r="F1014" s="292" t="str">
        <f ca="1">IF(ISERROR($S1014),"",OFFSET('Smelter Reference List'!$E$4,$S1014-4,0))</f>
        <v/>
      </c>
      <c r="G1014" s="292" t="str">
        <f ca="1">IF(C1014=$U$4,"Enter smelter details", IF(ISERROR($S1014),"",OFFSET('Smelter Reference List'!$F$4,$S1014-4,0)))</f>
        <v/>
      </c>
      <c r="H1014" s="293" t="str">
        <f ca="1">IF(ISERROR($S1014),"",OFFSET('Smelter Reference List'!$G$4,$S1014-4,0))</f>
        <v/>
      </c>
      <c r="I1014" s="294" t="str">
        <f ca="1">IF(ISERROR($S1014),"",OFFSET('Smelter Reference List'!$H$4,$S1014-4,0))</f>
        <v/>
      </c>
      <c r="J1014" s="294" t="str">
        <f ca="1">IF(ISERROR($S1014),"",OFFSET('Smelter Reference List'!$I$4,$S1014-4,0))</f>
        <v/>
      </c>
      <c r="K1014" s="295"/>
      <c r="L1014" s="295"/>
      <c r="M1014" s="295"/>
      <c r="N1014" s="295"/>
      <c r="O1014" s="295"/>
      <c r="P1014" s="295"/>
      <c r="Q1014" s="296"/>
      <c r="R1014" s="227"/>
      <c r="S1014" s="228" t="e">
        <f>IF(C1014="",NA(),MATCH($B1014&amp;$C1014,'Smelter Reference List'!$J:$J,0))</f>
        <v>#N/A</v>
      </c>
      <c r="T1014" s="229"/>
      <c r="U1014" s="229">
        <f t="shared" ca="1" si="32"/>
        <v>0</v>
      </c>
      <c r="V1014" s="229"/>
      <c r="W1014" s="229"/>
      <c r="Y1014" s="223" t="str">
        <f t="shared" si="33"/>
        <v/>
      </c>
    </row>
    <row r="1015" spans="1:25" s="223" customFormat="1" ht="20.25">
      <c r="A1015" s="291"/>
      <c r="B1015" s="292" t="str">
        <f>IF(LEN(A1015)=0,"",INDEX('Smelter Reference List'!$A:$A,MATCH($A1015,'Smelter Reference List'!$E:$E,0)))</f>
        <v/>
      </c>
      <c r="C1015" s="298" t="str">
        <f>IF(LEN(A1015)=0,"",INDEX('Smelter Reference List'!$C:$C,MATCH($A1015,'Smelter Reference List'!$E:$E,0)))</f>
        <v/>
      </c>
      <c r="D1015" s="292" t="str">
        <f ca="1">IF(ISERROR($S1015),"",OFFSET('Smelter Reference List'!$C$4,$S1015-4,0)&amp;"")</f>
        <v/>
      </c>
      <c r="E1015" s="292" t="str">
        <f ca="1">IF(ISERROR($S1015),"",OFFSET('Smelter Reference List'!$D$4,$S1015-4,0)&amp;"")</f>
        <v/>
      </c>
      <c r="F1015" s="292" t="str">
        <f ca="1">IF(ISERROR($S1015),"",OFFSET('Smelter Reference List'!$E$4,$S1015-4,0))</f>
        <v/>
      </c>
      <c r="G1015" s="292" t="str">
        <f ca="1">IF(C1015=$U$4,"Enter smelter details", IF(ISERROR($S1015),"",OFFSET('Smelter Reference List'!$F$4,$S1015-4,0)))</f>
        <v/>
      </c>
      <c r="H1015" s="293" t="str">
        <f ca="1">IF(ISERROR($S1015),"",OFFSET('Smelter Reference List'!$G$4,$S1015-4,0))</f>
        <v/>
      </c>
      <c r="I1015" s="294" t="str">
        <f ca="1">IF(ISERROR($S1015),"",OFFSET('Smelter Reference List'!$H$4,$S1015-4,0))</f>
        <v/>
      </c>
      <c r="J1015" s="294" t="str">
        <f ca="1">IF(ISERROR($S1015),"",OFFSET('Smelter Reference List'!$I$4,$S1015-4,0))</f>
        <v/>
      </c>
      <c r="K1015" s="295"/>
      <c r="L1015" s="295"/>
      <c r="M1015" s="295"/>
      <c r="N1015" s="295"/>
      <c r="O1015" s="295"/>
      <c r="P1015" s="295"/>
      <c r="Q1015" s="296"/>
      <c r="R1015" s="227"/>
      <c r="S1015" s="228" t="e">
        <f>IF(C1015="",NA(),MATCH($B1015&amp;$C1015,'Smelter Reference List'!$J:$J,0))</f>
        <v>#N/A</v>
      </c>
      <c r="T1015" s="229"/>
      <c r="U1015" s="229">
        <f t="shared" ca="1" si="32"/>
        <v>0</v>
      </c>
      <c r="V1015" s="229"/>
      <c r="W1015" s="229"/>
      <c r="Y1015" s="223" t="str">
        <f t="shared" si="33"/>
        <v/>
      </c>
    </row>
    <row r="1016" spans="1:25" s="223" customFormat="1" ht="20.25">
      <c r="A1016" s="291"/>
      <c r="B1016" s="292" t="str">
        <f>IF(LEN(A1016)=0,"",INDEX('Smelter Reference List'!$A:$A,MATCH($A1016,'Smelter Reference List'!$E:$E,0)))</f>
        <v/>
      </c>
      <c r="C1016" s="298" t="str">
        <f>IF(LEN(A1016)=0,"",INDEX('Smelter Reference List'!$C:$C,MATCH($A1016,'Smelter Reference List'!$E:$E,0)))</f>
        <v/>
      </c>
      <c r="D1016" s="292" t="str">
        <f ca="1">IF(ISERROR($S1016),"",OFFSET('Smelter Reference List'!$C$4,$S1016-4,0)&amp;"")</f>
        <v/>
      </c>
      <c r="E1016" s="292" t="str">
        <f ca="1">IF(ISERROR($S1016),"",OFFSET('Smelter Reference List'!$D$4,$S1016-4,0)&amp;"")</f>
        <v/>
      </c>
      <c r="F1016" s="292" t="str">
        <f ca="1">IF(ISERROR($S1016),"",OFFSET('Smelter Reference List'!$E$4,$S1016-4,0))</f>
        <v/>
      </c>
      <c r="G1016" s="292" t="str">
        <f ca="1">IF(C1016=$U$4,"Enter smelter details", IF(ISERROR($S1016),"",OFFSET('Smelter Reference List'!$F$4,$S1016-4,0)))</f>
        <v/>
      </c>
      <c r="H1016" s="293" t="str">
        <f ca="1">IF(ISERROR($S1016),"",OFFSET('Smelter Reference List'!$G$4,$S1016-4,0))</f>
        <v/>
      </c>
      <c r="I1016" s="294" t="str">
        <f ca="1">IF(ISERROR($S1016),"",OFFSET('Smelter Reference List'!$H$4,$S1016-4,0))</f>
        <v/>
      </c>
      <c r="J1016" s="294" t="str">
        <f ca="1">IF(ISERROR($S1016),"",OFFSET('Smelter Reference List'!$I$4,$S1016-4,0))</f>
        <v/>
      </c>
      <c r="K1016" s="295"/>
      <c r="L1016" s="295"/>
      <c r="M1016" s="295"/>
      <c r="N1016" s="295"/>
      <c r="O1016" s="295"/>
      <c r="P1016" s="295"/>
      <c r="Q1016" s="296"/>
      <c r="R1016" s="227"/>
      <c r="S1016" s="228" t="e">
        <f>IF(C1016="",NA(),MATCH($B1016&amp;$C1016,'Smelter Reference List'!$J:$J,0))</f>
        <v>#N/A</v>
      </c>
      <c r="T1016" s="229"/>
      <c r="U1016" s="229">
        <f t="shared" ca="1" si="32"/>
        <v>0</v>
      </c>
      <c r="V1016" s="229"/>
      <c r="W1016" s="229"/>
      <c r="Y1016" s="223" t="str">
        <f t="shared" si="33"/>
        <v/>
      </c>
    </row>
    <row r="1017" spans="1:25" s="223" customFormat="1" ht="20.25">
      <c r="A1017" s="291"/>
      <c r="B1017" s="292" t="str">
        <f>IF(LEN(A1017)=0,"",INDEX('Smelter Reference List'!$A:$A,MATCH($A1017,'Smelter Reference List'!$E:$E,0)))</f>
        <v/>
      </c>
      <c r="C1017" s="298" t="str">
        <f>IF(LEN(A1017)=0,"",INDEX('Smelter Reference List'!$C:$C,MATCH($A1017,'Smelter Reference List'!$E:$E,0)))</f>
        <v/>
      </c>
      <c r="D1017" s="292" t="str">
        <f ca="1">IF(ISERROR($S1017),"",OFFSET('Smelter Reference List'!$C$4,$S1017-4,0)&amp;"")</f>
        <v/>
      </c>
      <c r="E1017" s="292" t="str">
        <f ca="1">IF(ISERROR($S1017),"",OFFSET('Smelter Reference List'!$D$4,$S1017-4,0)&amp;"")</f>
        <v/>
      </c>
      <c r="F1017" s="292" t="str">
        <f ca="1">IF(ISERROR($S1017),"",OFFSET('Smelter Reference List'!$E$4,$S1017-4,0))</f>
        <v/>
      </c>
      <c r="G1017" s="292" t="str">
        <f ca="1">IF(C1017=$U$4,"Enter smelter details", IF(ISERROR($S1017),"",OFFSET('Smelter Reference List'!$F$4,$S1017-4,0)))</f>
        <v/>
      </c>
      <c r="H1017" s="293" t="str">
        <f ca="1">IF(ISERROR($S1017),"",OFFSET('Smelter Reference List'!$G$4,$S1017-4,0))</f>
        <v/>
      </c>
      <c r="I1017" s="294" t="str">
        <f ca="1">IF(ISERROR($S1017),"",OFFSET('Smelter Reference List'!$H$4,$S1017-4,0))</f>
        <v/>
      </c>
      <c r="J1017" s="294" t="str">
        <f ca="1">IF(ISERROR($S1017),"",OFFSET('Smelter Reference List'!$I$4,$S1017-4,0))</f>
        <v/>
      </c>
      <c r="K1017" s="295"/>
      <c r="L1017" s="295"/>
      <c r="M1017" s="295"/>
      <c r="N1017" s="295"/>
      <c r="O1017" s="295"/>
      <c r="P1017" s="295"/>
      <c r="Q1017" s="296"/>
      <c r="R1017" s="227"/>
      <c r="S1017" s="228" t="e">
        <f>IF(C1017="",NA(),MATCH($B1017&amp;$C1017,'Smelter Reference List'!$J:$J,0))</f>
        <v>#N/A</v>
      </c>
      <c r="T1017" s="229"/>
      <c r="U1017" s="229">
        <f t="shared" ca="1" si="32"/>
        <v>0</v>
      </c>
      <c r="V1017" s="229"/>
      <c r="W1017" s="229"/>
      <c r="Y1017" s="223" t="str">
        <f t="shared" si="33"/>
        <v/>
      </c>
    </row>
    <row r="1018" spans="1:25" s="223" customFormat="1" ht="20.25">
      <c r="A1018" s="291"/>
      <c r="B1018" s="292" t="str">
        <f>IF(LEN(A1018)=0,"",INDEX('Smelter Reference List'!$A:$A,MATCH($A1018,'Smelter Reference List'!$E:$E,0)))</f>
        <v/>
      </c>
      <c r="C1018" s="298" t="str">
        <f>IF(LEN(A1018)=0,"",INDEX('Smelter Reference List'!$C:$C,MATCH($A1018,'Smelter Reference List'!$E:$E,0)))</f>
        <v/>
      </c>
      <c r="D1018" s="292" t="str">
        <f ca="1">IF(ISERROR($S1018),"",OFFSET('Smelter Reference List'!$C$4,$S1018-4,0)&amp;"")</f>
        <v/>
      </c>
      <c r="E1018" s="292" t="str">
        <f ca="1">IF(ISERROR($S1018),"",OFFSET('Smelter Reference List'!$D$4,$S1018-4,0)&amp;"")</f>
        <v/>
      </c>
      <c r="F1018" s="292" t="str">
        <f ca="1">IF(ISERROR($S1018),"",OFFSET('Smelter Reference List'!$E$4,$S1018-4,0))</f>
        <v/>
      </c>
      <c r="G1018" s="292" t="str">
        <f ca="1">IF(C1018=$U$4,"Enter smelter details", IF(ISERROR($S1018),"",OFFSET('Smelter Reference List'!$F$4,$S1018-4,0)))</f>
        <v/>
      </c>
      <c r="H1018" s="293" t="str">
        <f ca="1">IF(ISERROR($S1018),"",OFFSET('Smelter Reference List'!$G$4,$S1018-4,0))</f>
        <v/>
      </c>
      <c r="I1018" s="294" t="str">
        <f ca="1">IF(ISERROR($S1018),"",OFFSET('Smelter Reference List'!$H$4,$S1018-4,0))</f>
        <v/>
      </c>
      <c r="J1018" s="294" t="str">
        <f ca="1">IF(ISERROR($S1018),"",OFFSET('Smelter Reference List'!$I$4,$S1018-4,0))</f>
        <v/>
      </c>
      <c r="K1018" s="295"/>
      <c r="L1018" s="295"/>
      <c r="M1018" s="295"/>
      <c r="N1018" s="295"/>
      <c r="O1018" s="295"/>
      <c r="P1018" s="295"/>
      <c r="Q1018" s="296"/>
      <c r="R1018" s="227"/>
      <c r="S1018" s="228" t="e">
        <f>IF(C1018="",NA(),MATCH($B1018&amp;$C1018,'Smelter Reference List'!$J:$J,0))</f>
        <v>#N/A</v>
      </c>
      <c r="T1018" s="229"/>
      <c r="U1018" s="229">
        <f t="shared" ca="1" si="32"/>
        <v>0</v>
      </c>
      <c r="V1018" s="229"/>
      <c r="W1018" s="229"/>
      <c r="Y1018" s="223" t="str">
        <f t="shared" si="33"/>
        <v/>
      </c>
    </row>
    <row r="1019" spans="1:25" s="223" customFormat="1" ht="20.25">
      <c r="A1019" s="291"/>
      <c r="B1019" s="292" t="str">
        <f>IF(LEN(A1019)=0,"",INDEX('Smelter Reference List'!$A:$A,MATCH($A1019,'Smelter Reference List'!$E:$E,0)))</f>
        <v/>
      </c>
      <c r="C1019" s="298" t="str">
        <f>IF(LEN(A1019)=0,"",INDEX('Smelter Reference List'!$C:$C,MATCH($A1019,'Smelter Reference List'!$E:$E,0)))</f>
        <v/>
      </c>
      <c r="D1019" s="292" t="str">
        <f ca="1">IF(ISERROR($S1019),"",OFFSET('Smelter Reference List'!$C$4,$S1019-4,0)&amp;"")</f>
        <v/>
      </c>
      <c r="E1019" s="292" t="str">
        <f ca="1">IF(ISERROR($S1019),"",OFFSET('Smelter Reference List'!$D$4,$S1019-4,0)&amp;"")</f>
        <v/>
      </c>
      <c r="F1019" s="292" t="str">
        <f ca="1">IF(ISERROR($S1019),"",OFFSET('Smelter Reference List'!$E$4,$S1019-4,0))</f>
        <v/>
      </c>
      <c r="G1019" s="292" t="str">
        <f ca="1">IF(C1019=$U$4,"Enter smelter details", IF(ISERROR($S1019),"",OFFSET('Smelter Reference List'!$F$4,$S1019-4,0)))</f>
        <v/>
      </c>
      <c r="H1019" s="293" t="str">
        <f ca="1">IF(ISERROR($S1019),"",OFFSET('Smelter Reference List'!$G$4,$S1019-4,0))</f>
        <v/>
      </c>
      <c r="I1019" s="294" t="str">
        <f ca="1">IF(ISERROR($S1019),"",OFFSET('Smelter Reference List'!$H$4,$S1019-4,0))</f>
        <v/>
      </c>
      <c r="J1019" s="294" t="str">
        <f ca="1">IF(ISERROR($S1019),"",OFFSET('Smelter Reference List'!$I$4,$S1019-4,0))</f>
        <v/>
      </c>
      <c r="K1019" s="295"/>
      <c r="L1019" s="295"/>
      <c r="M1019" s="295"/>
      <c r="N1019" s="295"/>
      <c r="O1019" s="295"/>
      <c r="P1019" s="295"/>
      <c r="Q1019" s="296"/>
      <c r="R1019" s="227"/>
      <c r="S1019" s="228" t="e">
        <f>IF(C1019="",NA(),MATCH($B1019&amp;$C1019,'Smelter Reference List'!$J:$J,0))</f>
        <v>#N/A</v>
      </c>
      <c r="T1019" s="229"/>
      <c r="U1019" s="229">
        <f t="shared" ca="1" si="32"/>
        <v>0</v>
      </c>
      <c r="V1019" s="229"/>
      <c r="W1019" s="229"/>
      <c r="Y1019" s="223" t="str">
        <f t="shared" si="33"/>
        <v/>
      </c>
    </row>
    <row r="1020" spans="1:25" s="223" customFormat="1" ht="20.25">
      <c r="A1020" s="291"/>
      <c r="B1020" s="292" t="str">
        <f>IF(LEN(A1020)=0,"",INDEX('Smelter Reference List'!$A:$A,MATCH($A1020,'Smelter Reference List'!$E:$E,0)))</f>
        <v/>
      </c>
      <c r="C1020" s="298" t="str">
        <f>IF(LEN(A1020)=0,"",INDEX('Smelter Reference List'!$C:$C,MATCH($A1020,'Smelter Reference List'!$E:$E,0)))</f>
        <v/>
      </c>
      <c r="D1020" s="292" t="str">
        <f ca="1">IF(ISERROR($S1020),"",OFFSET('Smelter Reference List'!$C$4,$S1020-4,0)&amp;"")</f>
        <v/>
      </c>
      <c r="E1020" s="292" t="str">
        <f ca="1">IF(ISERROR($S1020),"",OFFSET('Smelter Reference List'!$D$4,$S1020-4,0)&amp;"")</f>
        <v/>
      </c>
      <c r="F1020" s="292" t="str">
        <f ca="1">IF(ISERROR($S1020),"",OFFSET('Smelter Reference List'!$E$4,$S1020-4,0))</f>
        <v/>
      </c>
      <c r="G1020" s="292" t="str">
        <f ca="1">IF(C1020=$U$4,"Enter smelter details", IF(ISERROR($S1020),"",OFFSET('Smelter Reference List'!$F$4,$S1020-4,0)))</f>
        <v/>
      </c>
      <c r="H1020" s="293" t="str">
        <f ca="1">IF(ISERROR($S1020),"",OFFSET('Smelter Reference List'!$G$4,$S1020-4,0))</f>
        <v/>
      </c>
      <c r="I1020" s="294" t="str">
        <f ca="1">IF(ISERROR($S1020),"",OFFSET('Smelter Reference List'!$H$4,$S1020-4,0))</f>
        <v/>
      </c>
      <c r="J1020" s="294" t="str">
        <f ca="1">IF(ISERROR($S1020),"",OFFSET('Smelter Reference List'!$I$4,$S1020-4,0))</f>
        <v/>
      </c>
      <c r="K1020" s="295"/>
      <c r="L1020" s="295"/>
      <c r="M1020" s="295"/>
      <c r="N1020" s="295"/>
      <c r="O1020" s="295"/>
      <c r="P1020" s="295"/>
      <c r="Q1020" s="296"/>
      <c r="R1020" s="227"/>
      <c r="S1020" s="228" t="e">
        <f>IF(C1020="",NA(),MATCH($B1020&amp;$C1020,'Smelter Reference List'!$J:$J,0))</f>
        <v>#N/A</v>
      </c>
      <c r="T1020" s="229"/>
      <c r="U1020" s="229">
        <f t="shared" ca="1" si="32"/>
        <v>0</v>
      </c>
      <c r="V1020" s="229"/>
      <c r="W1020" s="229"/>
      <c r="Y1020" s="223" t="str">
        <f t="shared" si="33"/>
        <v/>
      </c>
    </row>
    <row r="1021" spans="1:25" s="223" customFormat="1" ht="20.25">
      <c r="A1021" s="291"/>
      <c r="B1021" s="292" t="str">
        <f>IF(LEN(A1021)=0,"",INDEX('Smelter Reference List'!$A:$A,MATCH($A1021,'Smelter Reference List'!$E:$E,0)))</f>
        <v/>
      </c>
      <c r="C1021" s="298" t="str">
        <f>IF(LEN(A1021)=0,"",INDEX('Smelter Reference List'!$C:$C,MATCH($A1021,'Smelter Reference List'!$E:$E,0)))</f>
        <v/>
      </c>
      <c r="D1021" s="292" t="str">
        <f ca="1">IF(ISERROR($S1021),"",OFFSET('Smelter Reference List'!$C$4,$S1021-4,0)&amp;"")</f>
        <v/>
      </c>
      <c r="E1021" s="292" t="str">
        <f ca="1">IF(ISERROR($S1021),"",OFFSET('Smelter Reference List'!$D$4,$S1021-4,0)&amp;"")</f>
        <v/>
      </c>
      <c r="F1021" s="292" t="str">
        <f ca="1">IF(ISERROR($S1021),"",OFFSET('Smelter Reference List'!$E$4,$S1021-4,0))</f>
        <v/>
      </c>
      <c r="G1021" s="292" t="str">
        <f ca="1">IF(C1021=$U$4,"Enter smelter details", IF(ISERROR($S1021),"",OFFSET('Smelter Reference List'!$F$4,$S1021-4,0)))</f>
        <v/>
      </c>
      <c r="H1021" s="293" t="str">
        <f ca="1">IF(ISERROR($S1021),"",OFFSET('Smelter Reference List'!$G$4,$S1021-4,0))</f>
        <v/>
      </c>
      <c r="I1021" s="294" t="str">
        <f ca="1">IF(ISERROR($S1021),"",OFFSET('Smelter Reference List'!$H$4,$S1021-4,0))</f>
        <v/>
      </c>
      <c r="J1021" s="294" t="str">
        <f ca="1">IF(ISERROR($S1021),"",OFFSET('Smelter Reference List'!$I$4,$S1021-4,0))</f>
        <v/>
      </c>
      <c r="K1021" s="295"/>
      <c r="L1021" s="295"/>
      <c r="M1021" s="295"/>
      <c r="N1021" s="295"/>
      <c r="O1021" s="295"/>
      <c r="P1021" s="295"/>
      <c r="Q1021" s="296"/>
      <c r="R1021" s="227"/>
      <c r="S1021" s="228" t="e">
        <f>IF(C1021="",NA(),MATCH($B1021&amp;$C1021,'Smelter Reference List'!$J:$J,0))</f>
        <v>#N/A</v>
      </c>
      <c r="T1021" s="229"/>
      <c r="U1021" s="229">
        <f t="shared" ca="1" si="32"/>
        <v>0</v>
      </c>
      <c r="V1021" s="229"/>
      <c r="W1021" s="229"/>
      <c r="Y1021" s="223" t="str">
        <f t="shared" si="33"/>
        <v/>
      </c>
    </row>
    <row r="1022" spans="1:25" s="223" customFormat="1" ht="20.25">
      <c r="A1022" s="291"/>
      <c r="B1022" s="292" t="str">
        <f>IF(LEN(A1022)=0,"",INDEX('Smelter Reference List'!$A:$A,MATCH($A1022,'Smelter Reference List'!$E:$E,0)))</f>
        <v/>
      </c>
      <c r="C1022" s="298" t="str">
        <f>IF(LEN(A1022)=0,"",INDEX('Smelter Reference List'!$C:$C,MATCH($A1022,'Smelter Reference List'!$E:$E,0)))</f>
        <v/>
      </c>
      <c r="D1022" s="292" t="str">
        <f ca="1">IF(ISERROR($S1022),"",OFFSET('Smelter Reference List'!$C$4,$S1022-4,0)&amp;"")</f>
        <v/>
      </c>
      <c r="E1022" s="292" t="str">
        <f ca="1">IF(ISERROR($S1022),"",OFFSET('Smelter Reference List'!$D$4,$S1022-4,0)&amp;"")</f>
        <v/>
      </c>
      <c r="F1022" s="292" t="str">
        <f ca="1">IF(ISERROR($S1022),"",OFFSET('Smelter Reference List'!$E$4,$S1022-4,0))</f>
        <v/>
      </c>
      <c r="G1022" s="292" t="str">
        <f ca="1">IF(C1022=$U$4,"Enter smelter details", IF(ISERROR($S1022),"",OFFSET('Smelter Reference List'!$F$4,$S1022-4,0)))</f>
        <v/>
      </c>
      <c r="H1022" s="293" t="str">
        <f ca="1">IF(ISERROR($S1022),"",OFFSET('Smelter Reference List'!$G$4,$S1022-4,0))</f>
        <v/>
      </c>
      <c r="I1022" s="294" t="str">
        <f ca="1">IF(ISERROR($S1022),"",OFFSET('Smelter Reference List'!$H$4,$S1022-4,0))</f>
        <v/>
      </c>
      <c r="J1022" s="294" t="str">
        <f ca="1">IF(ISERROR($S1022),"",OFFSET('Smelter Reference List'!$I$4,$S1022-4,0))</f>
        <v/>
      </c>
      <c r="K1022" s="295"/>
      <c r="L1022" s="295"/>
      <c r="M1022" s="295"/>
      <c r="N1022" s="295"/>
      <c r="O1022" s="295"/>
      <c r="P1022" s="295"/>
      <c r="Q1022" s="296"/>
      <c r="R1022" s="227"/>
      <c r="S1022" s="228" t="e">
        <f>IF(C1022="",NA(),MATCH($B1022&amp;$C1022,'Smelter Reference List'!$J:$J,0))</f>
        <v>#N/A</v>
      </c>
      <c r="T1022" s="229"/>
      <c r="U1022" s="229">
        <f t="shared" ca="1" si="32"/>
        <v>0</v>
      </c>
      <c r="V1022" s="229"/>
      <c r="W1022" s="229"/>
      <c r="Y1022" s="223" t="str">
        <f t="shared" si="33"/>
        <v/>
      </c>
    </row>
    <row r="1023" spans="1:25" s="223" customFormat="1" ht="20.25">
      <c r="A1023" s="291"/>
      <c r="B1023" s="292" t="str">
        <f>IF(LEN(A1023)=0,"",INDEX('Smelter Reference List'!$A:$A,MATCH($A1023,'Smelter Reference List'!$E:$E,0)))</f>
        <v/>
      </c>
      <c r="C1023" s="298" t="str">
        <f>IF(LEN(A1023)=0,"",INDEX('Smelter Reference List'!$C:$C,MATCH($A1023,'Smelter Reference List'!$E:$E,0)))</f>
        <v/>
      </c>
      <c r="D1023" s="292" t="str">
        <f ca="1">IF(ISERROR($S1023),"",OFFSET('Smelter Reference List'!$C$4,$S1023-4,0)&amp;"")</f>
        <v/>
      </c>
      <c r="E1023" s="292" t="str">
        <f ca="1">IF(ISERROR($S1023),"",OFFSET('Smelter Reference List'!$D$4,$S1023-4,0)&amp;"")</f>
        <v/>
      </c>
      <c r="F1023" s="292" t="str">
        <f ca="1">IF(ISERROR($S1023),"",OFFSET('Smelter Reference List'!$E$4,$S1023-4,0))</f>
        <v/>
      </c>
      <c r="G1023" s="292" t="str">
        <f ca="1">IF(C1023=$U$4,"Enter smelter details", IF(ISERROR($S1023),"",OFFSET('Smelter Reference List'!$F$4,$S1023-4,0)))</f>
        <v/>
      </c>
      <c r="H1023" s="293" t="str">
        <f ca="1">IF(ISERROR($S1023),"",OFFSET('Smelter Reference List'!$G$4,$S1023-4,0))</f>
        <v/>
      </c>
      <c r="I1023" s="294" t="str">
        <f ca="1">IF(ISERROR($S1023),"",OFFSET('Smelter Reference List'!$H$4,$S1023-4,0))</f>
        <v/>
      </c>
      <c r="J1023" s="294" t="str">
        <f ca="1">IF(ISERROR($S1023),"",OFFSET('Smelter Reference List'!$I$4,$S1023-4,0))</f>
        <v/>
      </c>
      <c r="K1023" s="295"/>
      <c r="L1023" s="295"/>
      <c r="M1023" s="295"/>
      <c r="N1023" s="295"/>
      <c r="O1023" s="295"/>
      <c r="P1023" s="295"/>
      <c r="Q1023" s="296"/>
      <c r="R1023" s="227"/>
      <c r="S1023" s="228" t="e">
        <f>IF(C1023="",NA(),MATCH($B1023&amp;$C1023,'Smelter Reference List'!$J:$J,0))</f>
        <v>#N/A</v>
      </c>
      <c r="T1023" s="229"/>
      <c r="U1023" s="229">
        <f t="shared" ca="1" si="32"/>
        <v>0</v>
      </c>
      <c r="V1023" s="229"/>
      <c r="W1023" s="229"/>
      <c r="Y1023" s="223" t="str">
        <f t="shared" si="33"/>
        <v/>
      </c>
    </row>
    <row r="1024" spans="1:25" s="223" customFormat="1" ht="20.25">
      <c r="A1024" s="291"/>
      <c r="B1024" s="292" t="str">
        <f>IF(LEN(A1024)=0,"",INDEX('Smelter Reference List'!$A:$A,MATCH($A1024,'Smelter Reference List'!$E:$E,0)))</f>
        <v/>
      </c>
      <c r="C1024" s="298" t="str">
        <f>IF(LEN(A1024)=0,"",INDEX('Smelter Reference List'!$C:$C,MATCH($A1024,'Smelter Reference List'!$E:$E,0)))</f>
        <v/>
      </c>
      <c r="D1024" s="292" t="str">
        <f ca="1">IF(ISERROR($S1024),"",OFFSET('Smelter Reference List'!$C$4,$S1024-4,0)&amp;"")</f>
        <v/>
      </c>
      <c r="E1024" s="292" t="str">
        <f ca="1">IF(ISERROR($S1024),"",OFFSET('Smelter Reference List'!$D$4,$S1024-4,0)&amp;"")</f>
        <v/>
      </c>
      <c r="F1024" s="292" t="str">
        <f ca="1">IF(ISERROR($S1024),"",OFFSET('Smelter Reference List'!$E$4,$S1024-4,0))</f>
        <v/>
      </c>
      <c r="G1024" s="292" t="str">
        <f ca="1">IF(C1024=$U$4,"Enter smelter details", IF(ISERROR($S1024),"",OFFSET('Smelter Reference List'!$F$4,$S1024-4,0)))</f>
        <v/>
      </c>
      <c r="H1024" s="293" t="str">
        <f ca="1">IF(ISERROR($S1024),"",OFFSET('Smelter Reference List'!$G$4,$S1024-4,0))</f>
        <v/>
      </c>
      <c r="I1024" s="294" t="str">
        <f ca="1">IF(ISERROR($S1024),"",OFFSET('Smelter Reference List'!$H$4,$S1024-4,0))</f>
        <v/>
      </c>
      <c r="J1024" s="294" t="str">
        <f ca="1">IF(ISERROR($S1024),"",OFFSET('Smelter Reference List'!$I$4,$S1024-4,0))</f>
        <v/>
      </c>
      <c r="K1024" s="295"/>
      <c r="L1024" s="295"/>
      <c r="M1024" s="295"/>
      <c r="N1024" s="295"/>
      <c r="O1024" s="295"/>
      <c r="P1024" s="295"/>
      <c r="Q1024" s="296"/>
      <c r="R1024" s="227"/>
      <c r="S1024" s="228" t="e">
        <f>IF(C1024="",NA(),MATCH($B1024&amp;$C1024,'Smelter Reference List'!$J:$J,0))</f>
        <v>#N/A</v>
      </c>
      <c r="T1024" s="229"/>
      <c r="U1024" s="229">
        <f t="shared" ca="1" si="32"/>
        <v>0</v>
      </c>
      <c r="V1024" s="229"/>
      <c r="W1024" s="229"/>
      <c r="Y1024" s="223" t="str">
        <f t="shared" si="33"/>
        <v/>
      </c>
    </row>
    <row r="1025" spans="1:25" s="223" customFormat="1" ht="20.25">
      <c r="A1025" s="291"/>
      <c r="B1025" s="292" t="str">
        <f>IF(LEN(A1025)=0,"",INDEX('Smelter Reference List'!$A:$A,MATCH($A1025,'Smelter Reference List'!$E:$E,0)))</f>
        <v/>
      </c>
      <c r="C1025" s="298" t="str">
        <f>IF(LEN(A1025)=0,"",INDEX('Smelter Reference List'!$C:$C,MATCH($A1025,'Smelter Reference List'!$E:$E,0)))</f>
        <v/>
      </c>
      <c r="D1025" s="292" t="str">
        <f ca="1">IF(ISERROR($S1025),"",OFFSET('Smelter Reference List'!$C$4,$S1025-4,0)&amp;"")</f>
        <v/>
      </c>
      <c r="E1025" s="292" t="str">
        <f ca="1">IF(ISERROR($S1025),"",OFFSET('Smelter Reference List'!$D$4,$S1025-4,0)&amp;"")</f>
        <v/>
      </c>
      <c r="F1025" s="292" t="str">
        <f ca="1">IF(ISERROR($S1025),"",OFFSET('Smelter Reference List'!$E$4,$S1025-4,0))</f>
        <v/>
      </c>
      <c r="G1025" s="292" t="str">
        <f ca="1">IF(C1025=$U$4,"Enter smelter details", IF(ISERROR($S1025),"",OFFSET('Smelter Reference List'!$F$4,$S1025-4,0)))</f>
        <v/>
      </c>
      <c r="H1025" s="293" t="str">
        <f ca="1">IF(ISERROR($S1025),"",OFFSET('Smelter Reference List'!$G$4,$S1025-4,0))</f>
        <v/>
      </c>
      <c r="I1025" s="294" t="str">
        <f ca="1">IF(ISERROR($S1025),"",OFFSET('Smelter Reference List'!$H$4,$S1025-4,0))</f>
        <v/>
      </c>
      <c r="J1025" s="294" t="str">
        <f ca="1">IF(ISERROR($S1025),"",OFFSET('Smelter Reference List'!$I$4,$S1025-4,0))</f>
        <v/>
      </c>
      <c r="K1025" s="295"/>
      <c r="L1025" s="295"/>
      <c r="M1025" s="295"/>
      <c r="N1025" s="295"/>
      <c r="O1025" s="295"/>
      <c r="P1025" s="295"/>
      <c r="Q1025" s="296"/>
      <c r="R1025" s="227"/>
      <c r="S1025" s="228" t="e">
        <f>IF(C1025="",NA(),MATCH($B1025&amp;$C1025,'Smelter Reference List'!$J:$J,0))</f>
        <v>#N/A</v>
      </c>
      <c r="T1025" s="229"/>
      <c r="U1025" s="229">
        <f t="shared" ca="1" si="32"/>
        <v>0</v>
      </c>
      <c r="V1025" s="229"/>
      <c r="W1025" s="229"/>
      <c r="Y1025" s="223" t="str">
        <f t="shared" si="33"/>
        <v/>
      </c>
    </row>
    <row r="1026" spans="1:25" s="223" customFormat="1" ht="20.25">
      <c r="A1026" s="291"/>
      <c r="B1026" s="292" t="str">
        <f>IF(LEN(A1026)=0,"",INDEX('Smelter Reference List'!$A:$A,MATCH($A1026,'Smelter Reference List'!$E:$E,0)))</f>
        <v/>
      </c>
      <c r="C1026" s="298" t="str">
        <f>IF(LEN(A1026)=0,"",INDEX('Smelter Reference List'!$C:$C,MATCH($A1026,'Smelter Reference List'!$E:$E,0)))</f>
        <v/>
      </c>
      <c r="D1026" s="292" t="str">
        <f ca="1">IF(ISERROR($S1026),"",OFFSET('Smelter Reference List'!$C$4,$S1026-4,0)&amp;"")</f>
        <v/>
      </c>
      <c r="E1026" s="292" t="str">
        <f ca="1">IF(ISERROR($S1026),"",OFFSET('Smelter Reference List'!$D$4,$S1026-4,0)&amp;"")</f>
        <v/>
      </c>
      <c r="F1026" s="292" t="str">
        <f ca="1">IF(ISERROR($S1026),"",OFFSET('Smelter Reference List'!$E$4,$S1026-4,0))</f>
        <v/>
      </c>
      <c r="G1026" s="292" t="str">
        <f ca="1">IF(C1026=$U$4,"Enter smelter details", IF(ISERROR($S1026),"",OFFSET('Smelter Reference List'!$F$4,$S1026-4,0)))</f>
        <v/>
      </c>
      <c r="H1026" s="293" t="str">
        <f ca="1">IF(ISERROR($S1026),"",OFFSET('Smelter Reference List'!$G$4,$S1026-4,0))</f>
        <v/>
      </c>
      <c r="I1026" s="294" t="str">
        <f ca="1">IF(ISERROR($S1026),"",OFFSET('Smelter Reference List'!$H$4,$S1026-4,0))</f>
        <v/>
      </c>
      <c r="J1026" s="294" t="str">
        <f ca="1">IF(ISERROR($S1026),"",OFFSET('Smelter Reference List'!$I$4,$S1026-4,0))</f>
        <v/>
      </c>
      <c r="K1026" s="295"/>
      <c r="L1026" s="295"/>
      <c r="M1026" s="295"/>
      <c r="N1026" s="295"/>
      <c r="O1026" s="295"/>
      <c r="P1026" s="295"/>
      <c r="Q1026" s="296"/>
      <c r="R1026" s="227"/>
      <c r="S1026" s="228" t="e">
        <f>IF(C1026="",NA(),MATCH($B1026&amp;$C1026,'Smelter Reference List'!$J:$J,0))</f>
        <v>#N/A</v>
      </c>
      <c r="T1026" s="229"/>
      <c r="U1026" s="229">
        <f t="shared" ca="1" si="32"/>
        <v>0</v>
      </c>
      <c r="V1026" s="229"/>
      <c r="W1026" s="229"/>
      <c r="Y1026" s="223" t="str">
        <f t="shared" si="33"/>
        <v/>
      </c>
    </row>
    <row r="1027" spans="1:25" s="223" customFormat="1" ht="20.25">
      <c r="A1027" s="291"/>
      <c r="B1027" s="292" t="str">
        <f>IF(LEN(A1027)=0,"",INDEX('Smelter Reference List'!$A:$A,MATCH($A1027,'Smelter Reference List'!$E:$E,0)))</f>
        <v/>
      </c>
      <c r="C1027" s="298" t="str">
        <f>IF(LEN(A1027)=0,"",INDEX('Smelter Reference List'!$C:$C,MATCH($A1027,'Smelter Reference List'!$E:$E,0)))</f>
        <v/>
      </c>
      <c r="D1027" s="292" t="str">
        <f ca="1">IF(ISERROR($S1027),"",OFFSET('Smelter Reference List'!$C$4,$S1027-4,0)&amp;"")</f>
        <v/>
      </c>
      <c r="E1027" s="292" t="str">
        <f ca="1">IF(ISERROR($S1027),"",OFFSET('Smelter Reference List'!$D$4,$S1027-4,0)&amp;"")</f>
        <v/>
      </c>
      <c r="F1027" s="292" t="str">
        <f ca="1">IF(ISERROR($S1027),"",OFFSET('Smelter Reference List'!$E$4,$S1027-4,0))</f>
        <v/>
      </c>
      <c r="G1027" s="292" t="str">
        <f ca="1">IF(C1027=$U$4,"Enter smelter details", IF(ISERROR($S1027),"",OFFSET('Smelter Reference List'!$F$4,$S1027-4,0)))</f>
        <v/>
      </c>
      <c r="H1027" s="293" t="str">
        <f ca="1">IF(ISERROR($S1027),"",OFFSET('Smelter Reference List'!$G$4,$S1027-4,0))</f>
        <v/>
      </c>
      <c r="I1027" s="294" t="str">
        <f ca="1">IF(ISERROR($S1027),"",OFFSET('Smelter Reference List'!$H$4,$S1027-4,0))</f>
        <v/>
      </c>
      <c r="J1027" s="294" t="str">
        <f ca="1">IF(ISERROR($S1027),"",OFFSET('Smelter Reference List'!$I$4,$S1027-4,0))</f>
        <v/>
      </c>
      <c r="K1027" s="295"/>
      <c r="L1027" s="295"/>
      <c r="M1027" s="295"/>
      <c r="N1027" s="295"/>
      <c r="O1027" s="295"/>
      <c r="P1027" s="295"/>
      <c r="Q1027" s="296"/>
      <c r="R1027" s="227"/>
      <c r="S1027" s="228" t="e">
        <f>IF(C1027="",NA(),MATCH($B1027&amp;$C1027,'Smelter Reference List'!$J:$J,0))</f>
        <v>#N/A</v>
      </c>
      <c r="T1027" s="229"/>
      <c r="U1027" s="229">
        <f t="shared" ca="1" si="32"/>
        <v>0</v>
      </c>
      <c r="V1027" s="229"/>
      <c r="W1027" s="229"/>
      <c r="Y1027" s="223" t="str">
        <f t="shared" si="33"/>
        <v/>
      </c>
    </row>
    <row r="1028" spans="1:25" s="223" customFormat="1" ht="20.25">
      <c r="A1028" s="291"/>
      <c r="B1028" s="292" t="str">
        <f>IF(LEN(A1028)=0,"",INDEX('Smelter Reference List'!$A:$A,MATCH($A1028,'Smelter Reference List'!$E:$E,0)))</f>
        <v/>
      </c>
      <c r="C1028" s="298" t="str">
        <f>IF(LEN(A1028)=0,"",INDEX('Smelter Reference List'!$C:$C,MATCH($A1028,'Smelter Reference List'!$E:$E,0)))</f>
        <v/>
      </c>
      <c r="D1028" s="292" t="str">
        <f ca="1">IF(ISERROR($S1028),"",OFFSET('Smelter Reference List'!$C$4,$S1028-4,0)&amp;"")</f>
        <v/>
      </c>
      <c r="E1028" s="292" t="str">
        <f ca="1">IF(ISERROR($S1028),"",OFFSET('Smelter Reference List'!$D$4,$S1028-4,0)&amp;"")</f>
        <v/>
      </c>
      <c r="F1028" s="292" t="str">
        <f ca="1">IF(ISERROR($S1028),"",OFFSET('Smelter Reference List'!$E$4,$S1028-4,0))</f>
        <v/>
      </c>
      <c r="G1028" s="292" t="str">
        <f ca="1">IF(C1028=$U$4,"Enter smelter details", IF(ISERROR($S1028),"",OFFSET('Smelter Reference List'!$F$4,$S1028-4,0)))</f>
        <v/>
      </c>
      <c r="H1028" s="293" t="str">
        <f ca="1">IF(ISERROR($S1028),"",OFFSET('Smelter Reference List'!$G$4,$S1028-4,0))</f>
        <v/>
      </c>
      <c r="I1028" s="294" t="str">
        <f ca="1">IF(ISERROR($S1028),"",OFFSET('Smelter Reference List'!$H$4,$S1028-4,0))</f>
        <v/>
      </c>
      <c r="J1028" s="294" t="str">
        <f ca="1">IF(ISERROR($S1028),"",OFFSET('Smelter Reference List'!$I$4,$S1028-4,0))</f>
        <v/>
      </c>
      <c r="K1028" s="295"/>
      <c r="L1028" s="295"/>
      <c r="M1028" s="295"/>
      <c r="N1028" s="295"/>
      <c r="O1028" s="295"/>
      <c r="P1028" s="295"/>
      <c r="Q1028" s="296"/>
      <c r="R1028" s="227"/>
      <c r="S1028" s="228" t="e">
        <f>IF(C1028="",NA(),MATCH($B1028&amp;$C1028,'Smelter Reference List'!$J:$J,0))</f>
        <v>#N/A</v>
      </c>
      <c r="T1028" s="229"/>
      <c r="U1028" s="229">
        <f t="shared" ca="1" si="32"/>
        <v>0</v>
      </c>
      <c r="V1028" s="229"/>
      <c r="W1028" s="229"/>
      <c r="Y1028" s="223" t="str">
        <f t="shared" si="33"/>
        <v/>
      </c>
    </row>
    <row r="1029" spans="1:25" s="223" customFormat="1" ht="20.25">
      <c r="A1029" s="291"/>
      <c r="B1029" s="292" t="str">
        <f>IF(LEN(A1029)=0,"",INDEX('Smelter Reference List'!$A:$A,MATCH($A1029,'Smelter Reference List'!$E:$E,0)))</f>
        <v/>
      </c>
      <c r="C1029" s="298" t="str">
        <f>IF(LEN(A1029)=0,"",INDEX('Smelter Reference List'!$C:$C,MATCH($A1029,'Smelter Reference List'!$E:$E,0)))</f>
        <v/>
      </c>
      <c r="D1029" s="292" t="str">
        <f ca="1">IF(ISERROR($S1029),"",OFFSET('Smelter Reference List'!$C$4,$S1029-4,0)&amp;"")</f>
        <v/>
      </c>
      <c r="E1029" s="292" t="str">
        <f ca="1">IF(ISERROR($S1029),"",OFFSET('Smelter Reference List'!$D$4,$S1029-4,0)&amp;"")</f>
        <v/>
      </c>
      <c r="F1029" s="292" t="str">
        <f ca="1">IF(ISERROR($S1029),"",OFFSET('Smelter Reference List'!$E$4,$S1029-4,0))</f>
        <v/>
      </c>
      <c r="G1029" s="292" t="str">
        <f ca="1">IF(C1029=$U$4,"Enter smelter details", IF(ISERROR($S1029),"",OFFSET('Smelter Reference List'!$F$4,$S1029-4,0)))</f>
        <v/>
      </c>
      <c r="H1029" s="293" t="str">
        <f ca="1">IF(ISERROR($S1029),"",OFFSET('Smelter Reference List'!$G$4,$S1029-4,0))</f>
        <v/>
      </c>
      <c r="I1029" s="294" t="str">
        <f ca="1">IF(ISERROR($S1029),"",OFFSET('Smelter Reference List'!$H$4,$S1029-4,0))</f>
        <v/>
      </c>
      <c r="J1029" s="294" t="str">
        <f ca="1">IF(ISERROR($S1029),"",OFFSET('Smelter Reference List'!$I$4,$S1029-4,0))</f>
        <v/>
      </c>
      <c r="K1029" s="295"/>
      <c r="L1029" s="295"/>
      <c r="M1029" s="295"/>
      <c r="N1029" s="295"/>
      <c r="O1029" s="295"/>
      <c r="P1029" s="295"/>
      <c r="Q1029" s="296"/>
      <c r="R1029" s="227"/>
      <c r="S1029" s="228" t="e">
        <f>IF(C1029="",NA(),MATCH($B1029&amp;$C1029,'Smelter Reference List'!$J:$J,0))</f>
        <v>#N/A</v>
      </c>
      <c r="T1029" s="229"/>
      <c r="U1029" s="229">
        <f t="shared" ref="U1029:U1092" ca="1" si="34">IF(AND(C1029="Smelter not listed",OR(LEN(D1029)=0,LEN(E1029)=0)),1,0)</f>
        <v>0</v>
      </c>
      <c r="V1029" s="229"/>
      <c r="W1029" s="229"/>
      <c r="Y1029" s="223" t="str">
        <f t="shared" ref="Y1029:Y1092" si="35">B1029&amp;C1029</f>
        <v/>
      </c>
    </row>
    <row r="1030" spans="1:25" s="223" customFormat="1" ht="20.25">
      <c r="A1030" s="291"/>
      <c r="B1030" s="292" t="str">
        <f>IF(LEN(A1030)=0,"",INDEX('Smelter Reference List'!$A:$A,MATCH($A1030,'Smelter Reference List'!$E:$E,0)))</f>
        <v/>
      </c>
      <c r="C1030" s="298" t="str">
        <f>IF(LEN(A1030)=0,"",INDEX('Smelter Reference List'!$C:$C,MATCH($A1030,'Smelter Reference List'!$E:$E,0)))</f>
        <v/>
      </c>
      <c r="D1030" s="292" t="str">
        <f ca="1">IF(ISERROR($S1030),"",OFFSET('Smelter Reference List'!$C$4,$S1030-4,0)&amp;"")</f>
        <v/>
      </c>
      <c r="E1030" s="292" t="str">
        <f ca="1">IF(ISERROR($S1030),"",OFFSET('Smelter Reference List'!$D$4,$S1030-4,0)&amp;"")</f>
        <v/>
      </c>
      <c r="F1030" s="292" t="str">
        <f ca="1">IF(ISERROR($S1030),"",OFFSET('Smelter Reference List'!$E$4,$S1030-4,0))</f>
        <v/>
      </c>
      <c r="G1030" s="292" t="str">
        <f ca="1">IF(C1030=$U$4,"Enter smelter details", IF(ISERROR($S1030),"",OFFSET('Smelter Reference List'!$F$4,$S1030-4,0)))</f>
        <v/>
      </c>
      <c r="H1030" s="293" t="str">
        <f ca="1">IF(ISERROR($S1030),"",OFFSET('Smelter Reference List'!$G$4,$S1030-4,0))</f>
        <v/>
      </c>
      <c r="I1030" s="294" t="str">
        <f ca="1">IF(ISERROR($S1030),"",OFFSET('Smelter Reference List'!$H$4,$S1030-4,0))</f>
        <v/>
      </c>
      <c r="J1030" s="294" t="str">
        <f ca="1">IF(ISERROR($S1030),"",OFFSET('Smelter Reference List'!$I$4,$S1030-4,0))</f>
        <v/>
      </c>
      <c r="K1030" s="295"/>
      <c r="L1030" s="295"/>
      <c r="M1030" s="295"/>
      <c r="N1030" s="295"/>
      <c r="O1030" s="295"/>
      <c r="P1030" s="295"/>
      <c r="Q1030" s="296"/>
      <c r="R1030" s="227"/>
      <c r="S1030" s="228" t="e">
        <f>IF(C1030="",NA(),MATCH($B1030&amp;$C1030,'Smelter Reference List'!$J:$J,0))</f>
        <v>#N/A</v>
      </c>
      <c r="T1030" s="229"/>
      <c r="U1030" s="229">
        <f t="shared" ca="1" si="34"/>
        <v>0</v>
      </c>
      <c r="V1030" s="229"/>
      <c r="W1030" s="229"/>
      <c r="Y1030" s="223" t="str">
        <f t="shared" si="35"/>
        <v/>
      </c>
    </row>
    <row r="1031" spans="1:25" s="223" customFormat="1" ht="20.25">
      <c r="A1031" s="291"/>
      <c r="B1031" s="292" t="str">
        <f>IF(LEN(A1031)=0,"",INDEX('Smelter Reference List'!$A:$A,MATCH($A1031,'Smelter Reference List'!$E:$E,0)))</f>
        <v/>
      </c>
      <c r="C1031" s="298" t="str">
        <f>IF(LEN(A1031)=0,"",INDEX('Smelter Reference List'!$C:$C,MATCH($A1031,'Smelter Reference List'!$E:$E,0)))</f>
        <v/>
      </c>
      <c r="D1031" s="292" t="str">
        <f ca="1">IF(ISERROR($S1031),"",OFFSET('Smelter Reference List'!$C$4,$S1031-4,0)&amp;"")</f>
        <v/>
      </c>
      <c r="E1031" s="292" t="str">
        <f ca="1">IF(ISERROR($S1031),"",OFFSET('Smelter Reference List'!$D$4,$S1031-4,0)&amp;"")</f>
        <v/>
      </c>
      <c r="F1031" s="292" t="str">
        <f ca="1">IF(ISERROR($S1031),"",OFFSET('Smelter Reference List'!$E$4,$S1031-4,0))</f>
        <v/>
      </c>
      <c r="G1031" s="292" t="str">
        <f ca="1">IF(C1031=$U$4,"Enter smelter details", IF(ISERROR($S1031),"",OFFSET('Smelter Reference List'!$F$4,$S1031-4,0)))</f>
        <v/>
      </c>
      <c r="H1031" s="293" t="str">
        <f ca="1">IF(ISERROR($S1031),"",OFFSET('Smelter Reference List'!$G$4,$S1031-4,0))</f>
        <v/>
      </c>
      <c r="I1031" s="294" t="str">
        <f ca="1">IF(ISERROR($S1031),"",OFFSET('Smelter Reference List'!$H$4,$S1031-4,0))</f>
        <v/>
      </c>
      <c r="J1031" s="294" t="str">
        <f ca="1">IF(ISERROR($S1031),"",OFFSET('Smelter Reference List'!$I$4,$S1031-4,0))</f>
        <v/>
      </c>
      <c r="K1031" s="295"/>
      <c r="L1031" s="295"/>
      <c r="M1031" s="295"/>
      <c r="N1031" s="295"/>
      <c r="O1031" s="295"/>
      <c r="P1031" s="295"/>
      <c r="Q1031" s="296"/>
      <c r="R1031" s="227"/>
      <c r="S1031" s="228" t="e">
        <f>IF(C1031="",NA(),MATCH($B1031&amp;$C1031,'Smelter Reference List'!$J:$J,0))</f>
        <v>#N/A</v>
      </c>
      <c r="T1031" s="229"/>
      <c r="U1031" s="229">
        <f t="shared" ca="1" si="34"/>
        <v>0</v>
      </c>
      <c r="V1031" s="229"/>
      <c r="W1031" s="229"/>
      <c r="Y1031" s="223" t="str">
        <f t="shared" si="35"/>
        <v/>
      </c>
    </row>
    <row r="1032" spans="1:25" s="223" customFormat="1" ht="20.25">
      <c r="A1032" s="291"/>
      <c r="B1032" s="292" t="str">
        <f>IF(LEN(A1032)=0,"",INDEX('Smelter Reference List'!$A:$A,MATCH($A1032,'Smelter Reference List'!$E:$E,0)))</f>
        <v/>
      </c>
      <c r="C1032" s="298" t="str">
        <f>IF(LEN(A1032)=0,"",INDEX('Smelter Reference List'!$C:$C,MATCH($A1032,'Smelter Reference List'!$E:$E,0)))</f>
        <v/>
      </c>
      <c r="D1032" s="292" t="str">
        <f ca="1">IF(ISERROR($S1032),"",OFFSET('Smelter Reference List'!$C$4,$S1032-4,0)&amp;"")</f>
        <v/>
      </c>
      <c r="E1032" s="292" t="str">
        <f ca="1">IF(ISERROR($S1032),"",OFFSET('Smelter Reference List'!$D$4,$S1032-4,0)&amp;"")</f>
        <v/>
      </c>
      <c r="F1032" s="292" t="str">
        <f ca="1">IF(ISERROR($S1032),"",OFFSET('Smelter Reference List'!$E$4,$S1032-4,0))</f>
        <v/>
      </c>
      <c r="G1032" s="292" t="str">
        <f ca="1">IF(C1032=$U$4,"Enter smelter details", IF(ISERROR($S1032),"",OFFSET('Smelter Reference List'!$F$4,$S1032-4,0)))</f>
        <v/>
      </c>
      <c r="H1032" s="293" t="str">
        <f ca="1">IF(ISERROR($S1032),"",OFFSET('Smelter Reference List'!$G$4,$S1032-4,0))</f>
        <v/>
      </c>
      <c r="I1032" s="294" t="str">
        <f ca="1">IF(ISERROR($S1032),"",OFFSET('Smelter Reference List'!$H$4,$S1032-4,0))</f>
        <v/>
      </c>
      <c r="J1032" s="294" t="str">
        <f ca="1">IF(ISERROR($S1032),"",OFFSET('Smelter Reference List'!$I$4,$S1032-4,0))</f>
        <v/>
      </c>
      <c r="K1032" s="295"/>
      <c r="L1032" s="295"/>
      <c r="M1032" s="295"/>
      <c r="N1032" s="295"/>
      <c r="O1032" s="295"/>
      <c r="P1032" s="295"/>
      <c r="Q1032" s="296"/>
      <c r="R1032" s="227"/>
      <c r="S1032" s="228" t="e">
        <f>IF(C1032="",NA(),MATCH($B1032&amp;$C1032,'Smelter Reference List'!$J:$J,0))</f>
        <v>#N/A</v>
      </c>
      <c r="T1032" s="229"/>
      <c r="U1032" s="229">
        <f t="shared" ca="1" si="34"/>
        <v>0</v>
      </c>
      <c r="V1032" s="229"/>
      <c r="W1032" s="229"/>
      <c r="Y1032" s="223" t="str">
        <f t="shared" si="35"/>
        <v/>
      </c>
    </row>
    <row r="1033" spans="1:25" s="223" customFormat="1" ht="20.25">
      <c r="A1033" s="291"/>
      <c r="B1033" s="292" t="str">
        <f>IF(LEN(A1033)=0,"",INDEX('Smelter Reference List'!$A:$A,MATCH($A1033,'Smelter Reference List'!$E:$E,0)))</f>
        <v/>
      </c>
      <c r="C1033" s="298" t="str">
        <f>IF(LEN(A1033)=0,"",INDEX('Smelter Reference List'!$C:$C,MATCH($A1033,'Smelter Reference List'!$E:$E,0)))</f>
        <v/>
      </c>
      <c r="D1033" s="292" t="str">
        <f ca="1">IF(ISERROR($S1033),"",OFFSET('Smelter Reference List'!$C$4,$S1033-4,0)&amp;"")</f>
        <v/>
      </c>
      <c r="E1033" s="292" t="str">
        <f ca="1">IF(ISERROR($S1033),"",OFFSET('Smelter Reference List'!$D$4,$S1033-4,0)&amp;"")</f>
        <v/>
      </c>
      <c r="F1033" s="292" t="str">
        <f ca="1">IF(ISERROR($S1033),"",OFFSET('Smelter Reference List'!$E$4,$S1033-4,0))</f>
        <v/>
      </c>
      <c r="G1033" s="292" t="str">
        <f ca="1">IF(C1033=$U$4,"Enter smelter details", IF(ISERROR($S1033),"",OFFSET('Smelter Reference List'!$F$4,$S1033-4,0)))</f>
        <v/>
      </c>
      <c r="H1033" s="293" t="str">
        <f ca="1">IF(ISERROR($S1033),"",OFFSET('Smelter Reference List'!$G$4,$S1033-4,0))</f>
        <v/>
      </c>
      <c r="I1033" s="294" t="str">
        <f ca="1">IF(ISERROR($S1033),"",OFFSET('Smelter Reference List'!$H$4,$S1033-4,0))</f>
        <v/>
      </c>
      <c r="J1033" s="294" t="str">
        <f ca="1">IF(ISERROR($S1033),"",OFFSET('Smelter Reference List'!$I$4,$S1033-4,0))</f>
        <v/>
      </c>
      <c r="K1033" s="295"/>
      <c r="L1033" s="295"/>
      <c r="M1033" s="295"/>
      <c r="N1033" s="295"/>
      <c r="O1033" s="295"/>
      <c r="P1033" s="295"/>
      <c r="Q1033" s="296"/>
      <c r="R1033" s="227"/>
      <c r="S1033" s="228" t="e">
        <f>IF(C1033="",NA(),MATCH($B1033&amp;$C1033,'Smelter Reference List'!$J:$J,0))</f>
        <v>#N/A</v>
      </c>
      <c r="T1033" s="229"/>
      <c r="U1033" s="229">
        <f t="shared" ca="1" si="34"/>
        <v>0</v>
      </c>
      <c r="V1033" s="229"/>
      <c r="W1033" s="229"/>
      <c r="Y1033" s="223" t="str">
        <f t="shared" si="35"/>
        <v/>
      </c>
    </row>
    <row r="1034" spans="1:25" s="223" customFormat="1" ht="20.25">
      <c r="A1034" s="291"/>
      <c r="B1034" s="292" t="str">
        <f>IF(LEN(A1034)=0,"",INDEX('Smelter Reference List'!$A:$A,MATCH($A1034,'Smelter Reference List'!$E:$E,0)))</f>
        <v/>
      </c>
      <c r="C1034" s="298" t="str">
        <f>IF(LEN(A1034)=0,"",INDEX('Smelter Reference List'!$C:$C,MATCH($A1034,'Smelter Reference List'!$E:$E,0)))</f>
        <v/>
      </c>
      <c r="D1034" s="292" t="str">
        <f ca="1">IF(ISERROR($S1034),"",OFFSET('Smelter Reference List'!$C$4,$S1034-4,0)&amp;"")</f>
        <v/>
      </c>
      <c r="E1034" s="292" t="str">
        <f ca="1">IF(ISERROR($S1034),"",OFFSET('Smelter Reference List'!$D$4,$S1034-4,0)&amp;"")</f>
        <v/>
      </c>
      <c r="F1034" s="292" t="str">
        <f ca="1">IF(ISERROR($S1034),"",OFFSET('Smelter Reference List'!$E$4,$S1034-4,0))</f>
        <v/>
      </c>
      <c r="G1034" s="292" t="str">
        <f ca="1">IF(C1034=$U$4,"Enter smelter details", IF(ISERROR($S1034),"",OFFSET('Smelter Reference List'!$F$4,$S1034-4,0)))</f>
        <v/>
      </c>
      <c r="H1034" s="293" t="str">
        <f ca="1">IF(ISERROR($S1034),"",OFFSET('Smelter Reference List'!$G$4,$S1034-4,0))</f>
        <v/>
      </c>
      <c r="I1034" s="294" t="str">
        <f ca="1">IF(ISERROR($S1034),"",OFFSET('Smelter Reference List'!$H$4,$S1034-4,0))</f>
        <v/>
      </c>
      <c r="J1034" s="294" t="str">
        <f ca="1">IF(ISERROR($S1034),"",OFFSET('Smelter Reference List'!$I$4,$S1034-4,0))</f>
        <v/>
      </c>
      <c r="K1034" s="295"/>
      <c r="L1034" s="295"/>
      <c r="M1034" s="295"/>
      <c r="N1034" s="295"/>
      <c r="O1034" s="295"/>
      <c r="P1034" s="295"/>
      <c r="Q1034" s="296"/>
      <c r="R1034" s="227"/>
      <c r="S1034" s="228" t="e">
        <f>IF(C1034="",NA(),MATCH($B1034&amp;$C1034,'Smelter Reference List'!$J:$J,0))</f>
        <v>#N/A</v>
      </c>
      <c r="T1034" s="229"/>
      <c r="U1034" s="229">
        <f t="shared" ca="1" si="34"/>
        <v>0</v>
      </c>
      <c r="V1034" s="229"/>
      <c r="W1034" s="229"/>
      <c r="Y1034" s="223" t="str">
        <f t="shared" si="35"/>
        <v/>
      </c>
    </row>
    <row r="1035" spans="1:25" s="223" customFormat="1" ht="20.25">
      <c r="A1035" s="291"/>
      <c r="B1035" s="292" t="str">
        <f>IF(LEN(A1035)=0,"",INDEX('Smelter Reference List'!$A:$A,MATCH($A1035,'Smelter Reference List'!$E:$E,0)))</f>
        <v/>
      </c>
      <c r="C1035" s="298" t="str">
        <f>IF(LEN(A1035)=0,"",INDEX('Smelter Reference List'!$C:$C,MATCH($A1035,'Smelter Reference List'!$E:$E,0)))</f>
        <v/>
      </c>
      <c r="D1035" s="292" t="str">
        <f ca="1">IF(ISERROR($S1035),"",OFFSET('Smelter Reference List'!$C$4,$S1035-4,0)&amp;"")</f>
        <v/>
      </c>
      <c r="E1035" s="292" t="str">
        <f ca="1">IF(ISERROR($S1035),"",OFFSET('Smelter Reference List'!$D$4,$S1035-4,0)&amp;"")</f>
        <v/>
      </c>
      <c r="F1035" s="292" t="str">
        <f ca="1">IF(ISERROR($S1035),"",OFFSET('Smelter Reference List'!$E$4,$S1035-4,0))</f>
        <v/>
      </c>
      <c r="G1035" s="292" t="str">
        <f ca="1">IF(C1035=$U$4,"Enter smelter details", IF(ISERROR($S1035),"",OFFSET('Smelter Reference List'!$F$4,$S1035-4,0)))</f>
        <v/>
      </c>
      <c r="H1035" s="293" t="str">
        <f ca="1">IF(ISERROR($S1035),"",OFFSET('Smelter Reference List'!$G$4,$S1035-4,0))</f>
        <v/>
      </c>
      <c r="I1035" s="294" t="str">
        <f ca="1">IF(ISERROR($S1035),"",OFFSET('Smelter Reference List'!$H$4,$S1035-4,0))</f>
        <v/>
      </c>
      <c r="J1035" s="294" t="str">
        <f ca="1">IF(ISERROR($S1035),"",OFFSET('Smelter Reference List'!$I$4,$S1035-4,0))</f>
        <v/>
      </c>
      <c r="K1035" s="295"/>
      <c r="L1035" s="295"/>
      <c r="M1035" s="295"/>
      <c r="N1035" s="295"/>
      <c r="O1035" s="295"/>
      <c r="P1035" s="295"/>
      <c r="Q1035" s="296"/>
      <c r="R1035" s="227"/>
      <c r="S1035" s="228" t="e">
        <f>IF(C1035="",NA(),MATCH($B1035&amp;$C1035,'Smelter Reference List'!$J:$J,0))</f>
        <v>#N/A</v>
      </c>
      <c r="T1035" s="229"/>
      <c r="U1035" s="229">
        <f t="shared" ca="1" si="34"/>
        <v>0</v>
      </c>
      <c r="V1035" s="229"/>
      <c r="W1035" s="229"/>
      <c r="Y1035" s="223" t="str">
        <f t="shared" si="35"/>
        <v/>
      </c>
    </row>
    <row r="1036" spans="1:25" s="223" customFormat="1" ht="20.25">
      <c r="A1036" s="291"/>
      <c r="B1036" s="292" t="str">
        <f>IF(LEN(A1036)=0,"",INDEX('Smelter Reference List'!$A:$A,MATCH($A1036,'Smelter Reference List'!$E:$E,0)))</f>
        <v/>
      </c>
      <c r="C1036" s="298" t="str">
        <f>IF(LEN(A1036)=0,"",INDEX('Smelter Reference List'!$C:$C,MATCH($A1036,'Smelter Reference List'!$E:$E,0)))</f>
        <v/>
      </c>
      <c r="D1036" s="292" t="str">
        <f ca="1">IF(ISERROR($S1036),"",OFFSET('Smelter Reference List'!$C$4,$S1036-4,0)&amp;"")</f>
        <v/>
      </c>
      <c r="E1036" s="292" t="str">
        <f ca="1">IF(ISERROR($S1036),"",OFFSET('Smelter Reference List'!$D$4,$S1036-4,0)&amp;"")</f>
        <v/>
      </c>
      <c r="F1036" s="292" t="str">
        <f ca="1">IF(ISERROR($S1036),"",OFFSET('Smelter Reference List'!$E$4,$S1036-4,0))</f>
        <v/>
      </c>
      <c r="G1036" s="292" t="str">
        <f ca="1">IF(C1036=$U$4,"Enter smelter details", IF(ISERROR($S1036),"",OFFSET('Smelter Reference List'!$F$4,$S1036-4,0)))</f>
        <v/>
      </c>
      <c r="H1036" s="293" t="str">
        <f ca="1">IF(ISERROR($S1036),"",OFFSET('Smelter Reference List'!$G$4,$S1036-4,0))</f>
        <v/>
      </c>
      <c r="I1036" s="294" t="str">
        <f ca="1">IF(ISERROR($S1036),"",OFFSET('Smelter Reference List'!$H$4,$S1036-4,0))</f>
        <v/>
      </c>
      <c r="J1036" s="294" t="str">
        <f ca="1">IF(ISERROR($S1036),"",OFFSET('Smelter Reference List'!$I$4,$S1036-4,0))</f>
        <v/>
      </c>
      <c r="K1036" s="295"/>
      <c r="L1036" s="295"/>
      <c r="M1036" s="295"/>
      <c r="N1036" s="295"/>
      <c r="O1036" s="295"/>
      <c r="P1036" s="295"/>
      <c r="Q1036" s="296"/>
      <c r="R1036" s="227"/>
      <c r="S1036" s="228" t="e">
        <f>IF(C1036="",NA(),MATCH($B1036&amp;$C1036,'Smelter Reference List'!$J:$J,0))</f>
        <v>#N/A</v>
      </c>
      <c r="T1036" s="229"/>
      <c r="U1036" s="229">
        <f t="shared" ca="1" si="34"/>
        <v>0</v>
      </c>
      <c r="V1036" s="229"/>
      <c r="W1036" s="229"/>
      <c r="Y1036" s="223" t="str">
        <f t="shared" si="35"/>
        <v/>
      </c>
    </row>
    <row r="1037" spans="1:25" s="223" customFormat="1" ht="20.25">
      <c r="A1037" s="291"/>
      <c r="B1037" s="292" t="str">
        <f>IF(LEN(A1037)=0,"",INDEX('Smelter Reference List'!$A:$A,MATCH($A1037,'Smelter Reference List'!$E:$E,0)))</f>
        <v/>
      </c>
      <c r="C1037" s="298" t="str">
        <f>IF(LEN(A1037)=0,"",INDEX('Smelter Reference List'!$C:$C,MATCH($A1037,'Smelter Reference List'!$E:$E,0)))</f>
        <v/>
      </c>
      <c r="D1037" s="292" t="str">
        <f ca="1">IF(ISERROR($S1037),"",OFFSET('Smelter Reference List'!$C$4,$S1037-4,0)&amp;"")</f>
        <v/>
      </c>
      <c r="E1037" s="292" t="str">
        <f ca="1">IF(ISERROR($S1037),"",OFFSET('Smelter Reference List'!$D$4,$S1037-4,0)&amp;"")</f>
        <v/>
      </c>
      <c r="F1037" s="292" t="str">
        <f ca="1">IF(ISERROR($S1037),"",OFFSET('Smelter Reference List'!$E$4,$S1037-4,0))</f>
        <v/>
      </c>
      <c r="G1037" s="292" t="str">
        <f ca="1">IF(C1037=$U$4,"Enter smelter details", IF(ISERROR($S1037),"",OFFSET('Smelter Reference List'!$F$4,$S1037-4,0)))</f>
        <v/>
      </c>
      <c r="H1037" s="293" t="str">
        <f ca="1">IF(ISERROR($S1037),"",OFFSET('Smelter Reference List'!$G$4,$S1037-4,0))</f>
        <v/>
      </c>
      <c r="I1037" s="294" t="str">
        <f ca="1">IF(ISERROR($S1037),"",OFFSET('Smelter Reference List'!$H$4,$S1037-4,0))</f>
        <v/>
      </c>
      <c r="J1037" s="294" t="str">
        <f ca="1">IF(ISERROR($S1037),"",OFFSET('Smelter Reference List'!$I$4,$S1037-4,0))</f>
        <v/>
      </c>
      <c r="K1037" s="295"/>
      <c r="L1037" s="295"/>
      <c r="M1037" s="295"/>
      <c r="N1037" s="295"/>
      <c r="O1037" s="295"/>
      <c r="P1037" s="295"/>
      <c r="Q1037" s="296"/>
      <c r="R1037" s="227"/>
      <c r="S1037" s="228" t="e">
        <f>IF(C1037="",NA(),MATCH($B1037&amp;$C1037,'Smelter Reference List'!$J:$J,0))</f>
        <v>#N/A</v>
      </c>
      <c r="T1037" s="229"/>
      <c r="U1037" s="229">
        <f t="shared" ca="1" si="34"/>
        <v>0</v>
      </c>
      <c r="V1037" s="229"/>
      <c r="W1037" s="229"/>
      <c r="Y1037" s="223" t="str">
        <f t="shared" si="35"/>
        <v/>
      </c>
    </row>
    <row r="1038" spans="1:25" s="223" customFormat="1" ht="20.25">
      <c r="A1038" s="291"/>
      <c r="B1038" s="292" t="str">
        <f>IF(LEN(A1038)=0,"",INDEX('Smelter Reference List'!$A:$A,MATCH($A1038,'Smelter Reference List'!$E:$E,0)))</f>
        <v/>
      </c>
      <c r="C1038" s="298" t="str">
        <f>IF(LEN(A1038)=0,"",INDEX('Smelter Reference List'!$C:$C,MATCH($A1038,'Smelter Reference List'!$E:$E,0)))</f>
        <v/>
      </c>
      <c r="D1038" s="292" t="str">
        <f ca="1">IF(ISERROR($S1038),"",OFFSET('Smelter Reference List'!$C$4,$S1038-4,0)&amp;"")</f>
        <v/>
      </c>
      <c r="E1038" s="292" t="str">
        <f ca="1">IF(ISERROR($S1038),"",OFFSET('Smelter Reference List'!$D$4,$S1038-4,0)&amp;"")</f>
        <v/>
      </c>
      <c r="F1038" s="292" t="str">
        <f ca="1">IF(ISERROR($S1038),"",OFFSET('Smelter Reference List'!$E$4,$S1038-4,0))</f>
        <v/>
      </c>
      <c r="G1038" s="292" t="str">
        <f ca="1">IF(C1038=$U$4,"Enter smelter details", IF(ISERROR($S1038),"",OFFSET('Smelter Reference List'!$F$4,$S1038-4,0)))</f>
        <v/>
      </c>
      <c r="H1038" s="293" t="str">
        <f ca="1">IF(ISERROR($S1038),"",OFFSET('Smelter Reference List'!$G$4,$S1038-4,0))</f>
        <v/>
      </c>
      <c r="I1038" s="294" t="str">
        <f ca="1">IF(ISERROR($S1038),"",OFFSET('Smelter Reference List'!$H$4,$S1038-4,0))</f>
        <v/>
      </c>
      <c r="J1038" s="294" t="str">
        <f ca="1">IF(ISERROR($S1038),"",OFFSET('Smelter Reference List'!$I$4,$S1038-4,0))</f>
        <v/>
      </c>
      <c r="K1038" s="295"/>
      <c r="L1038" s="295"/>
      <c r="M1038" s="295"/>
      <c r="N1038" s="295"/>
      <c r="O1038" s="295"/>
      <c r="P1038" s="295"/>
      <c r="Q1038" s="296"/>
      <c r="R1038" s="227"/>
      <c r="S1038" s="228" t="e">
        <f>IF(C1038="",NA(),MATCH($B1038&amp;$C1038,'Smelter Reference List'!$J:$J,0))</f>
        <v>#N/A</v>
      </c>
      <c r="T1038" s="229"/>
      <c r="U1038" s="229">
        <f t="shared" ca="1" si="34"/>
        <v>0</v>
      </c>
      <c r="V1038" s="229"/>
      <c r="W1038" s="229"/>
      <c r="Y1038" s="223" t="str">
        <f t="shared" si="35"/>
        <v/>
      </c>
    </row>
    <row r="1039" spans="1:25" s="223" customFormat="1" ht="20.25">
      <c r="A1039" s="291"/>
      <c r="B1039" s="292" t="str">
        <f>IF(LEN(A1039)=0,"",INDEX('Smelter Reference List'!$A:$A,MATCH($A1039,'Smelter Reference List'!$E:$E,0)))</f>
        <v/>
      </c>
      <c r="C1039" s="298" t="str">
        <f>IF(LEN(A1039)=0,"",INDEX('Smelter Reference List'!$C:$C,MATCH($A1039,'Smelter Reference List'!$E:$E,0)))</f>
        <v/>
      </c>
      <c r="D1039" s="292" t="str">
        <f ca="1">IF(ISERROR($S1039),"",OFFSET('Smelter Reference List'!$C$4,$S1039-4,0)&amp;"")</f>
        <v/>
      </c>
      <c r="E1039" s="292" t="str">
        <f ca="1">IF(ISERROR($S1039),"",OFFSET('Smelter Reference List'!$D$4,$S1039-4,0)&amp;"")</f>
        <v/>
      </c>
      <c r="F1039" s="292" t="str">
        <f ca="1">IF(ISERROR($S1039),"",OFFSET('Smelter Reference List'!$E$4,$S1039-4,0))</f>
        <v/>
      </c>
      <c r="G1039" s="292" t="str">
        <f ca="1">IF(C1039=$U$4,"Enter smelter details", IF(ISERROR($S1039),"",OFFSET('Smelter Reference List'!$F$4,$S1039-4,0)))</f>
        <v/>
      </c>
      <c r="H1039" s="293" t="str">
        <f ca="1">IF(ISERROR($S1039),"",OFFSET('Smelter Reference List'!$G$4,$S1039-4,0))</f>
        <v/>
      </c>
      <c r="I1039" s="294" t="str">
        <f ca="1">IF(ISERROR($S1039),"",OFFSET('Smelter Reference List'!$H$4,$S1039-4,0))</f>
        <v/>
      </c>
      <c r="J1039" s="294" t="str">
        <f ca="1">IF(ISERROR($S1039),"",OFFSET('Smelter Reference List'!$I$4,$S1039-4,0))</f>
        <v/>
      </c>
      <c r="K1039" s="295"/>
      <c r="L1039" s="295"/>
      <c r="M1039" s="295"/>
      <c r="N1039" s="295"/>
      <c r="O1039" s="295"/>
      <c r="P1039" s="295"/>
      <c r="Q1039" s="296"/>
      <c r="R1039" s="227"/>
      <c r="S1039" s="228" t="e">
        <f>IF(C1039="",NA(),MATCH($B1039&amp;$C1039,'Smelter Reference List'!$J:$J,0))</f>
        <v>#N/A</v>
      </c>
      <c r="T1039" s="229"/>
      <c r="U1039" s="229">
        <f t="shared" ca="1" si="34"/>
        <v>0</v>
      </c>
      <c r="V1039" s="229"/>
      <c r="W1039" s="229"/>
      <c r="Y1039" s="223" t="str">
        <f t="shared" si="35"/>
        <v/>
      </c>
    </row>
    <row r="1040" spans="1:25" s="223" customFormat="1" ht="20.25">
      <c r="A1040" s="291"/>
      <c r="B1040" s="292" t="str">
        <f>IF(LEN(A1040)=0,"",INDEX('Smelter Reference List'!$A:$A,MATCH($A1040,'Smelter Reference List'!$E:$E,0)))</f>
        <v/>
      </c>
      <c r="C1040" s="298" t="str">
        <f>IF(LEN(A1040)=0,"",INDEX('Smelter Reference List'!$C:$C,MATCH($A1040,'Smelter Reference List'!$E:$E,0)))</f>
        <v/>
      </c>
      <c r="D1040" s="292" t="str">
        <f ca="1">IF(ISERROR($S1040),"",OFFSET('Smelter Reference List'!$C$4,$S1040-4,0)&amp;"")</f>
        <v/>
      </c>
      <c r="E1040" s="292" t="str">
        <f ca="1">IF(ISERROR($S1040),"",OFFSET('Smelter Reference List'!$D$4,$S1040-4,0)&amp;"")</f>
        <v/>
      </c>
      <c r="F1040" s="292" t="str">
        <f ca="1">IF(ISERROR($S1040),"",OFFSET('Smelter Reference List'!$E$4,$S1040-4,0))</f>
        <v/>
      </c>
      <c r="G1040" s="292" t="str">
        <f ca="1">IF(C1040=$U$4,"Enter smelter details", IF(ISERROR($S1040),"",OFFSET('Smelter Reference List'!$F$4,$S1040-4,0)))</f>
        <v/>
      </c>
      <c r="H1040" s="293" t="str">
        <f ca="1">IF(ISERROR($S1040),"",OFFSET('Smelter Reference List'!$G$4,$S1040-4,0))</f>
        <v/>
      </c>
      <c r="I1040" s="294" t="str">
        <f ca="1">IF(ISERROR($S1040),"",OFFSET('Smelter Reference List'!$H$4,$S1040-4,0))</f>
        <v/>
      </c>
      <c r="J1040" s="294" t="str">
        <f ca="1">IF(ISERROR($S1040),"",OFFSET('Smelter Reference List'!$I$4,$S1040-4,0))</f>
        <v/>
      </c>
      <c r="K1040" s="295"/>
      <c r="L1040" s="295"/>
      <c r="M1040" s="295"/>
      <c r="N1040" s="295"/>
      <c r="O1040" s="295"/>
      <c r="P1040" s="295"/>
      <c r="Q1040" s="296"/>
      <c r="R1040" s="227"/>
      <c r="S1040" s="228" t="e">
        <f>IF(C1040="",NA(),MATCH($B1040&amp;$C1040,'Smelter Reference List'!$J:$J,0))</f>
        <v>#N/A</v>
      </c>
      <c r="T1040" s="229"/>
      <c r="U1040" s="229">
        <f t="shared" ca="1" si="34"/>
        <v>0</v>
      </c>
      <c r="V1040" s="229"/>
      <c r="W1040" s="229"/>
      <c r="Y1040" s="223" t="str">
        <f t="shared" si="35"/>
        <v/>
      </c>
    </row>
    <row r="1041" spans="1:25" s="223" customFormat="1" ht="20.25">
      <c r="A1041" s="291"/>
      <c r="B1041" s="292" t="str">
        <f>IF(LEN(A1041)=0,"",INDEX('Smelter Reference List'!$A:$A,MATCH($A1041,'Smelter Reference List'!$E:$E,0)))</f>
        <v/>
      </c>
      <c r="C1041" s="298" t="str">
        <f>IF(LEN(A1041)=0,"",INDEX('Smelter Reference List'!$C:$C,MATCH($A1041,'Smelter Reference List'!$E:$E,0)))</f>
        <v/>
      </c>
      <c r="D1041" s="292" t="str">
        <f ca="1">IF(ISERROR($S1041),"",OFFSET('Smelter Reference List'!$C$4,$S1041-4,0)&amp;"")</f>
        <v/>
      </c>
      <c r="E1041" s="292" t="str">
        <f ca="1">IF(ISERROR($S1041),"",OFFSET('Smelter Reference List'!$D$4,$S1041-4,0)&amp;"")</f>
        <v/>
      </c>
      <c r="F1041" s="292" t="str">
        <f ca="1">IF(ISERROR($S1041),"",OFFSET('Smelter Reference List'!$E$4,$S1041-4,0))</f>
        <v/>
      </c>
      <c r="G1041" s="292" t="str">
        <f ca="1">IF(C1041=$U$4,"Enter smelter details", IF(ISERROR($S1041),"",OFFSET('Smelter Reference List'!$F$4,$S1041-4,0)))</f>
        <v/>
      </c>
      <c r="H1041" s="293" t="str">
        <f ca="1">IF(ISERROR($S1041),"",OFFSET('Smelter Reference List'!$G$4,$S1041-4,0))</f>
        <v/>
      </c>
      <c r="I1041" s="294" t="str">
        <f ca="1">IF(ISERROR($S1041),"",OFFSET('Smelter Reference List'!$H$4,$S1041-4,0))</f>
        <v/>
      </c>
      <c r="J1041" s="294" t="str">
        <f ca="1">IF(ISERROR($S1041),"",OFFSET('Smelter Reference List'!$I$4,$S1041-4,0))</f>
        <v/>
      </c>
      <c r="K1041" s="295"/>
      <c r="L1041" s="295"/>
      <c r="M1041" s="295"/>
      <c r="N1041" s="295"/>
      <c r="O1041" s="295"/>
      <c r="P1041" s="295"/>
      <c r="Q1041" s="296"/>
      <c r="R1041" s="227"/>
      <c r="S1041" s="228" t="e">
        <f>IF(C1041="",NA(),MATCH($B1041&amp;$C1041,'Smelter Reference List'!$J:$J,0))</f>
        <v>#N/A</v>
      </c>
      <c r="T1041" s="229"/>
      <c r="U1041" s="229">
        <f t="shared" ca="1" si="34"/>
        <v>0</v>
      </c>
      <c r="V1041" s="229"/>
      <c r="W1041" s="229"/>
      <c r="Y1041" s="223" t="str">
        <f t="shared" si="35"/>
        <v/>
      </c>
    </row>
    <row r="1042" spans="1:25" s="223" customFormat="1" ht="20.25">
      <c r="A1042" s="291"/>
      <c r="B1042" s="292" t="str">
        <f>IF(LEN(A1042)=0,"",INDEX('Smelter Reference List'!$A:$A,MATCH($A1042,'Smelter Reference List'!$E:$E,0)))</f>
        <v/>
      </c>
      <c r="C1042" s="298" t="str">
        <f>IF(LEN(A1042)=0,"",INDEX('Smelter Reference List'!$C:$C,MATCH($A1042,'Smelter Reference List'!$E:$E,0)))</f>
        <v/>
      </c>
      <c r="D1042" s="292" t="str">
        <f ca="1">IF(ISERROR($S1042),"",OFFSET('Smelter Reference List'!$C$4,$S1042-4,0)&amp;"")</f>
        <v/>
      </c>
      <c r="E1042" s="292" t="str">
        <f ca="1">IF(ISERROR($S1042),"",OFFSET('Smelter Reference List'!$D$4,$S1042-4,0)&amp;"")</f>
        <v/>
      </c>
      <c r="F1042" s="292" t="str">
        <f ca="1">IF(ISERROR($S1042),"",OFFSET('Smelter Reference List'!$E$4,$S1042-4,0))</f>
        <v/>
      </c>
      <c r="G1042" s="292" t="str">
        <f ca="1">IF(C1042=$U$4,"Enter smelter details", IF(ISERROR($S1042),"",OFFSET('Smelter Reference List'!$F$4,$S1042-4,0)))</f>
        <v/>
      </c>
      <c r="H1042" s="293" t="str">
        <f ca="1">IF(ISERROR($S1042),"",OFFSET('Smelter Reference List'!$G$4,$S1042-4,0))</f>
        <v/>
      </c>
      <c r="I1042" s="294" t="str">
        <f ca="1">IF(ISERROR($S1042),"",OFFSET('Smelter Reference List'!$H$4,$S1042-4,0))</f>
        <v/>
      </c>
      <c r="J1042" s="294" t="str">
        <f ca="1">IF(ISERROR($S1042),"",OFFSET('Smelter Reference List'!$I$4,$S1042-4,0))</f>
        <v/>
      </c>
      <c r="K1042" s="295"/>
      <c r="L1042" s="295"/>
      <c r="M1042" s="295"/>
      <c r="N1042" s="295"/>
      <c r="O1042" s="295"/>
      <c r="P1042" s="295"/>
      <c r="Q1042" s="296"/>
      <c r="R1042" s="227"/>
      <c r="S1042" s="228" t="e">
        <f>IF(C1042="",NA(),MATCH($B1042&amp;$C1042,'Smelter Reference List'!$J:$J,0))</f>
        <v>#N/A</v>
      </c>
      <c r="T1042" s="229"/>
      <c r="U1042" s="229">
        <f t="shared" ca="1" si="34"/>
        <v>0</v>
      </c>
      <c r="V1042" s="229"/>
      <c r="W1042" s="229"/>
      <c r="Y1042" s="223" t="str">
        <f t="shared" si="35"/>
        <v/>
      </c>
    </row>
    <row r="1043" spans="1:25" s="223" customFormat="1" ht="20.25">
      <c r="A1043" s="291"/>
      <c r="B1043" s="292" t="str">
        <f>IF(LEN(A1043)=0,"",INDEX('Smelter Reference List'!$A:$A,MATCH($A1043,'Smelter Reference List'!$E:$E,0)))</f>
        <v/>
      </c>
      <c r="C1043" s="298" t="str">
        <f>IF(LEN(A1043)=0,"",INDEX('Smelter Reference List'!$C:$C,MATCH($A1043,'Smelter Reference List'!$E:$E,0)))</f>
        <v/>
      </c>
      <c r="D1043" s="292" t="str">
        <f ca="1">IF(ISERROR($S1043),"",OFFSET('Smelter Reference List'!$C$4,$S1043-4,0)&amp;"")</f>
        <v/>
      </c>
      <c r="E1043" s="292" t="str">
        <f ca="1">IF(ISERROR($S1043),"",OFFSET('Smelter Reference List'!$D$4,$S1043-4,0)&amp;"")</f>
        <v/>
      </c>
      <c r="F1043" s="292" t="str">
        <f ca="1">IF(ISERROR($S1043),"",OFFSET('Smelter Reference List'!$E$4,$S1043-4,0))</f>
        <v/>
      </c>
      <c r="G1043" s="292" t="str">
        <f ca="1">IF(C1043=$U$4,"Enter smelter details", IF(ISERROR($S1043),"",OFFSET('Smelter Reference List'!$F$4,$S1043-4,0)))</f>
        <v/>
      </c>
      <c r="H1043" s="293" t="str">
        <f ca="1">IF(ISERROR($S1043),"",OFFSET('Smelter Reference List'!$G$4,$S1043-4,0))</f>
        <v/>
      </c>
      <c r="I1043" s="294" t="str">
        <f ca="1">IF(ISERROR($S1043),"",OFFSET('Smelter Reference List'!$H$4,$S1043-4,0))</f>
        <v/>
      </c>
      <c r="J1043" s="294" t="str">
        <f ca="1">IF(ISERROR($S1043),"",OFFSET('Smelter Reference List'!$I$4,$S1043-4,0))</f>
        <v/>
      </c>
      <c r="K1043" s="295"/>
      <c r="L1043" s="295"/>
      <c r="M1043" s="295"/>
      <c r="N1043" s="295"/>
      <c r="O1043" s="295"/>
      <c r="P1043" s="295"/>
      <c r="Q1043" s="296"/>
      <c r="R1043" s="227"/>
      <c r="S1043" s="228" t="e">
        <f>IF(C1043="",NA(),MATCH($B1043&amp;$C1043,'Smelter Reference List'!$J:$J,0))</f>
        <v>#N/A</v>
      </c>
      <c r="T1043" s="229"/>
      <c r="U1043" s="229">
        <f t="shared" ca="1" si="34"/>
        <v>0</v>
      </c>
      <c r="V1043" s="229"/>
      <c r="W1043" s="229"/>
      <c r="Y1043" s="223" t="str">
        <f t="shared" si="35"/>
        <v/>
      </c>
    </row>
    <row r="1044" spans="1:25" s="223" customFormat="1" ht="20.25">
      <c r="A1044" s="291"/>
      <c r="B1044" s="292" t="str">
        <f>IF(LEN(A1044)=0,"",INDEX('Smelter Reference List'!$A:$A,MATCH($A1044,'Smelter Reference List'!$E:$E,0)))</f>
        <v/>
      </c>
      <c r="C1044" s="298" t="str">
        <f>IF(LEN(A1044)=0,"",INDEX('Smelter Reference List'!$C:$C,MATCH($A1044,'Smelter Reference List'!$E:$E,0)))</f>
        <v/>
      </c>
      <c r="D1044" s="292" t="str">
        <f ca="1">IF(ISERROR($S1044),"",OFFSET('Smelter Reference List'!$C$4,$S1044-4,0)&amp;"")</f>
        <v/>
      </c>
      <c r="E1044" s="292" t="str">
        <f ca="1">IF(ISERROR($S1044),"",OFFSET('Smelter Reference List'!$D$4,$S1044-4,0)&amp;"")</f>
        <v/>
      </c>
      <c r="F1044" s="292" t="str">
        <f ca="1">IF(ISERROR($S1044),"",OFFSET('Smelter Reference List'!$E$4,$S1044-4,0))</f>
        <v/>
      </c>
      <c r="G1044" s="292" t="str">
        <f ca="1">IF(C1044=$U$4,"Enter smelter details", IF(ISERROR($S1044),"",OFFSET('Smelter Reference List'!$F$4,$S1044-4,0)))</f>
        <v/>
      </c>
      <c r="H1044" s="293" t="str">
        <f ca="1">IF(ISERROR($S1044),"",OFFSET('Smelter Reference List'!$G$4,$S1044-4,0))</f>
        <v/>
      </c>
      <c r="I1044" s="294" t="str">
        <f ca="1">IF(ISERROR($S1044),"",OFFSET('Smelter Reference List'!$H$4,$S1044-4,0))</f>
        <v/>
      </c>
      <c r="J1044" s="294" t="str">
        <f ca="1">IF(ISERROR($S1044),"",OFFSET('Smelter Reference List'!$I$4,$S1044-4,0))</f>
        <v/>
      </c>
      <c r="K1044" s="295"/>
      <c r="L1044" s="295"/>
      <c r="M1044" s="295"/>
      <c r="N1044" s="295"/>
      <c r="O1044" s="295"/>
      <c r="P1044" s="295"/>
      <c r="Q1044" s="296"/>
      <c r="R1044" s="227"/>
      <c r="S1044" s="228" t="e">
        <f>IF(C1044="",NA(),MATCH($B1044&amp;$C1044,'Smelter Reference List'!$J:$J,0))</f>
        <v>#N/A</v>
      </c>
      <c r="T1044" s="229"/>
      <c r="U1044" s="229">
        <f t="shared" ca="1" si="34"/>
        <v>0</v>
      </c>
      <c r="V1044" s="229"/>
      <c r="W1044" s="229"/>
      <c r="Y1044" s="223" t="str">
        <f t="shared" si="35"/>
        <v/>
      </c>
    </row>
    <row r="1045" spans="1:25" s="223" customFormat="1" ht="20.25">
      <c r="A1045" s="291"/>
      <c r="B1045" s="292" t="str">
        <f>IF(LEN(A1045)=0,"",INDEX('Smelter Reference List'!$A:$A,MATCH($A1045,'Smelter Reference List'!$E:$E,0)))</f>
        <v/>
      </c>
      <c r="C1045" s="298" t="str">
        <f>IF(LEN(A1045)=0,"",INDEX('Smelter Reference List'!$C:$C,MATCH($A1045,'Smelter Reference List'!$E:$E,0)))</f>
        <v/>
      </c>
      <c r="D1045" s="292" t="str">
        <f ca="1">IF(ISERROR($S1045),"",OFFSET('Smelter Reference List'!$C$4,$S1045-4,0)&amp;"")</f>
        <v/>
      </c>
      <c r="E1045" s="292" t="str">
        <f ca="1">IF(ISERROR($S1045),"",OFFSET('Smelter Reference List'!$D$4,$S1045-4,0)&amp;"")</f>
        <v/>
      </c>
      <c r="F1045" s="292" t="str">
        <f ca="1">IF(ISERROR($S1045),"",OFFSET('Smelter Reference List'!$E$4,$S1045-4,0))</f>
        <v/>
      </c>
      <c r="G1045" s="292" t="str">
        <f ca="1">IF(C1045=$U$4,"Enter smelter details", IF(ISERROR($S1045),"",OFFSET('Smelter Reference List'!$F$4,$S1045-4,0)))</f>
        <v/>
      </c>
      <c r="H1045" s="293" t="str">
        <f ca="1">IF(ISERROR($S1045),"",OFFSET('Smelter Reference List'!$G$4,$S1045-4,0))</f>
        <v/>
      </c>
      <c r="I1045" s="294" t="str">
        <f ca="1">IF(ISERROR($S1045),"",OFFSET('Smelter Reference List'!$H$4,$S1045-4,0))</f>
        <v/>
      </c>
      <c r="J1045" s="294" t="str">
        <f ca="1">IF(ISERROR($S1045),"",OFFSET('Smelter Reference List'!$I$4,$S1045-4,0))</f>
        <v/>
      </c>
      <c r="K1045" s="295"/>
      <c r="L1045" s="295"/>
      <c r="M1045" s="295"/>
      <c r="N1045" s="295"/>
      <c r="O1045" s="295"/>
      <c r="P1045" s="295"/>
      <c r="Q1045" s="296"/>
      <c r="R1045" s="227"/>
      <c r="S1045" s="228" t="e">
        <f>IF(C1045="",NA(),MATCH($B1045&amp;$C1045,'Smelter Reference List'!$J:$J,0))</f>
        <v>#N/A</v>
      </c>
      <c r="T1045" s="229"/>
      <c r="U1045" s="229">
        <f t="shared" ca="1" si="34"/>
        <v>0</v>
      </c>
      <c r="V1045" s="229"/>
      <c r="W1045" s="229"/>
      <c r="Y1045" s="223" t="str">
        <f t="shared" si="35"/>
        <v/>
      </c>
    </row>
    <row r="1046" spans="1:25" s="223" customFormat="1" ht="20.25">
      <c r="A1046" s="291"/>
      <c r="B1046" s="292" t="str">
        <f>IF(LEN(A1046)=0,"",INDEX('Smelter Reference List'!$A:$A,MATCH($A1046,'Smelter Reference List'!$E:$E,0)))</f>
        <v/>
      </c>
      <c r="C1046" s="298" t="str">
        <f>IF(LEN(A1046)=0,"",INDEX('Smelter Reference List'!$C:$C,MATCH($A1046,'Smelter Reference List'!$E:$E,0)))</f>
        <v/>
      </c>
      <c r="D1046" s="292" t="str">
        <f ca="1">IF(ISERROR($S1046),"",OFFSET('Smelter Reference List'!$C$4,$S1046-4,0)&amp;"")</f>
        <v/>
      </c>
      <c r="E1046" s="292" t="str">
        <f ca="1">IF(ISERROR($S1046),"",OFFSET('Smelter Reference List'!$D$4,$S1046-4,0)&amp;"")</f>
        <v/>
      </c>
      <c r="F1046" s="292" t="str">
        <f ca="1">IF(ISERROR($S1046),"",OFFSET('Smelter Reference List'!$E$4,$S1046-4,0))</f>
        <v/>
      </c>
      <c r="G1046" s="292" t="str">
        <f ca="1">IF(C1046=$U$4,"Enter smelter details", IF(ISERROR($S1046),"",OFFSET('Smelter Reference List'!$F$4,$S1046-4,0)))</f>
        <v/>
      </c>
      <c r="H1046" s="293" t="str">
        <f ca="1">IF(ISERROR($S1046),"",OFFSET('Smelter Reference List'!$G$4,$S1046-4,0))</f>
        <v/>
      </c>
      <c r="I1046" s="294" t="str">
        <f ca="1">IF(ISERROR($S1046),"",OFFSET('Smelter Reference List'!$H$4,$S1046-4,0))</f>
        <v/>
      </c>
      <c r="J1046" s="294" t="str">
        <f ca="1">IF(ISERROR($S1046),"",OFFSET('Smelter Reference List'!$I$4,$S1046-4,0))</f>
        <v/>
      </c>
      <c r="K1046" s="295"/>
      <c r="L1046" s="295"/>
      <c r="M1046" s="295"/>
      <c r="N1046" s="295"/>
      <c r="O1046" s="295"/>
      <c r="P1046" s="295"/>
      <c r="Q1046" s="296"/>
      <c r="R1046" s="227"/>
      <c r="S1046" s="228" t="e">
        <f>IF(C1046="",NA(),MATCH($B1046&amp;$C1046,'Smelter Reference List'!$J:$J,0))</f>
        <v>#N/A</v>
      </c>
      <c r="T1046" s="229"/>
      <c r="U1046" s="229">
        <f t="shared" ca="1" si="34"/>
        <v>0</v>
      </c>
      <c r="V1046" s="229"/>
      <c r="W1046" s="229"/>
      <c r="Y1046" s="223" t="str">
        <f t="shared" si="35"/>
        <v/>
      </c>
    </row>
    <row r="1047" spans="1:25" s="223" customFormat="1" ht="20.25">
      <c r="A1047" s="291"/>
      <c r="B1047" s="292" t="str">
        <f>IF(LEN(A1047)=0,"",INDEX('Smelter Reference List'!$A:$A,MATCH($A1047,'Smelter Reference List'!$E:$E,0)))</f>
        <v/>
      </c>
      <c r="C1047" s="298" t="str">
        <f>IF(LEN(A1047)=0,"",INDEX('Smelter Reference List'!$C:$C,MATCH($A1047,'Smelter Reference List'!$E:$E,0)))</f>
        <v/>
      </c>
      <c r="D1047" s="292" t="str">
        <f ca="1">IF(ISERROR($S1047),"",OFFSET('Smelter Reference List'!$C$4,$S1047-4,0)&amp;"")</f>
        <v/>
      </c>
      <c r="E1047" s="292" t="str">
        <f ca="1">IF(ISERROR($S1047),"",OFFSET('Smelter Reference List'!$D$4,$S1047-4,0)&amp;"")</f>
        <v/>
      </c>
      <c r="F1047" s="292" t="str">
        <f ca="1">IF(ISERROR($S1047),"",OFFSET('Smelter Reference List'!$E$4,$S1047-4,0))</f>
        <v/>
      </c>
      <c r="G1047" s="292" t="str">
        <f ca="1">IF(C1047=$U$4,"Enter smelter details", IF(ISERROR($S1047),"",OFFSET('Smelter Reference List'!$F$4,$S1047-4,0)))</f>
        <v/>
      </c>
      <c r="H1047" s="293" t="str">
        <f ca="1">IF(ISERROR($S1047),"",OFFSET('Smelter Reference List'!$G$4,$S1047-4,0))</f>
        <v/>
      </c>
      <c r="I1047" s="294" t="str">
        <f ca="1">IF(ISERROR($S1047),"",OFFSET('Smelter Reference List'!$H$4,$S1047-4,0))</f>
        <v/>
      </c>
      <c r="J1047" s="294" t="str">
        <f ca="1">IF(ISERROR($S1047),"",OFFSET('Smelter Reference List'!$I$4,$S1047-4,0))</f>
        <v/>
      </c>
      <c r="K1047" s="295"/>
      <c r="L1047" s="295"/>
      <c r="M1047" s="295"/>
      <c r="N1047" s="295"/>
      <c r="O1047" s="295"/>
      <c r="P1047" s="295"/>
      <c r="Q1047" s="296"/>
      <c r="R1047" s="227"/>
      <c r="S1047" s="228" t="e">
        <f>IF(C1047="",NA(),MATCH($B1047&amp;$C1047,'Smelter Reference List'!$J:$J,0))</f>
        <v>#N/A</v>
      </c>
      <c r="T1047" s="229"/>
      <c r="U1047" s="229">
        <f t="shared" ca="1" si="34"/>
        <v>0</v>
      </c>
      <c r="V1047" s="229"/>
      <c r="W1047" s="229"/>
      <c r="Y1047" s="223" t="str">
        <f t="shared" si="35"/>
        <v/>
      </c>
    </row>
    <row r="1048" spans="1:25" s="223" customFormat="1" ht="20.25">
      <c r="A1048" s="291"/>
      <c r="B1048" s="292" t="str">
        <f>IF(LEN(A1048)=0,"",INDEX('Smelter Reference List'!$A:$A,MATCH($A1048,'Smelter Reference List'!$E:$E,0)))</f>
        <v/>
      </c>
      <c r="C1048" s="298" t="str">
        <f>IF(LEN(A1048)=0,"",INDEX('Smelter Reference List'!$C:$C,MATCH($A1048,'Smelter Reference List'!$E:$E,0)))</f>
        <v/>
      </c>
      <c r="D1048" s="292" t="str">
        <f ca="1">IF(ISERROR($S1048),"",OFFSET('Smelter Reference List'!$C$4,$S1048-4,0)&amp;"")</f>
        <v/>
      </c>
      <c r="E1048" s="292" t="str">
        <f ca="1">IF(ISERROR($S1048),"",OFFSET('Smelter Reference List'!$D$4,$S1048-4,0)&amp;"")</f>
        <v/>
      </c>
      <c r="F1048" s="292" t="str">
        <f ca="1">IF(ISERROR($S1048),"",OFFSET('Smelter Reference List'!$E$4,$S1048-4,0))</f>
        <v/>
      </c>
      <c r="G1048" s="292" t="str">
        <f ca="1">IF(C1048=$U$4,"Enter smelter details", IF(ISERROR($S1048),"",OFFSET('Smelter Reference List'!$F$4,$S1048-4,0)))</f>
        <v/>
      </c>
      <c r="H1048" s="293" t="str">
        <f ca="1">IF(ISERROR($S1048),"",OFFSET('Smelter Reference List'!$G$4,$S1048-4,0))</f>
        <v/>
      </c>
      <c r="I1048" s="294" t="str">
        <f ca="1">IF(ISERROR($S1048),"",OFFSET('Smelter Reference List'!$H$4,$S1048-4,0))</f>
        <v/>
      </c>
      <c r="J1048" s="294" t="str">
        <f ca="1">IF(ISERROR($S1048),"",OFFSET('Smelter Reference List'!$I$4,$S1048-4,0))</f>
        <v/>
      </c>
      <c r="K1048" s="295"/>
      <c r="L1048" s="295"/>
      <c r="M1048" s="295"/>
      <c r="N1048" s="295"/>
      <c r="O1048" s="295"/>
      <c r="P1048" s="295"/>
      <c r="Q1048" s="296"/>
      <c r="R1048" s="227"/>
      <c r="S1048" s="228" t="e">
        <f>IF(C1048="",NA(),MATCH($B1048&amp;$C1048,'Smelter Reference List'!$J:$J,0))</f>
        <v>#N/A</v>
      </c>
      <c r="T1048" s="229"/>
      <c r="U1048" s="229">
        <f t="shared" ca="1" si="34"/>
        <v>0</v>
      </c>
      <c r="V1048" s="229"/>
      <c r="W1048" s="229"/>
      <c r="Y1048" s="223" t="str">
        <f t="shared" si="35"/>
        <v/>
      </c>
    </row>
    <row r="1049" spans="1:25" s="223" customFormat="1" ht="20.25">
      <c r="A1049" s="291"/>
      <c r="B1049" s="292" t="str">
        <f>IF(LEN(A1049)=0,"",INDEX('Smelter Reference List'!$A:$A,MATCH($A1049,'Smelter Reference List'!$E:$E,0)))</f>
        <v/>
      </c>
      <c r="C1049" s="298" t="str">
        <f>IF(LEN(A1049)=0,"",INDEX('Smelter Reference List'!$C:$C,MATCH($A1049,'Smelter Reference List'!$E:$E,0)))</f>
        <v/>
      </c>
      <c r="D1049" s="292" t="str">
        <f ca="1">IF(ISERROR($S1049),"",OFFSET('Smelter Reference List'!$C$4,$S1049-4,0)&amp;"")</f>
        <v/>
      </c>
      <c r="E1049" s="292" t="str">
        <f ca="1">IF(ISERROR($S1049),"",OFFSET('Smelter Reference List'!$D$4,$S1049-4,0)&amp;"")</f>
        <v/>
      </c>
      <c r="F1049" s="292" t="str">
        <f ca="1">IF(ISERROR($S1049),"",OFFSET('Smelter Reference List'!$E$4,$S1049-4,0))</f>
        <v/>
      </c>
      <c r="G1049" s="292" t="str">
        <f ca="1">IF(C1049=$U$4,"Enter smelter details", IF(ISERROR($S1049),"",OFFSET('Smelter Reference List'!$F$4,$S1049-4,0)))</f>
        <v/>
      </c>
      <c r="H1049" s="293" t="str">
        <f ca="1">IF(ISERROR($S1049),"",OFFSET('Smelter Reference List'!$G$4,$S1049-4,0))</f>
        <v/>
      </c>
      <c r="I1049" s="294" t="str">
        <f ca="1">IF(ISERROR($S1049),"",OFFSET('Smelter Reference List'!$H$4,$S1049-4,0))</f>
        <v/>
      </c>
      <c r="J1049" s="294" t="str">
        <f ca="1">IF(ISERROR($S1049),"",OFFSET('Smelter Reference List'!$I$4,$S1049-4,0))</f>
        <v/>
      </c>
      <c r="K1049" s="295"/>
      <c r="L1049" s="295"/>
      <c r="M1049" s="295"/>
      <c r="N1049" s="295"/>
      <c r="O1049" s="295"/>
      <c r="P1049" s="295"/>
      <c r="Q1049" s="296"/>
      <c r="R1049" s="227"/>
      <c r="S1049" s="228" t="e">
        <f>IF(C1049="",NA(),MATCH($B1049&amp;$C1049,'Smelter Reference List'!$J:$J,0))</f>
        <v>#N/A</v>
      </c>
      <c r="T1049" s="229"/>
      <c r="U1049" s="229">
        <f t="shared" ca="1" si="34"/>
        <v>0</v>
      </c>
      <c r="V1049" s="229"/>
      <c r="W1049" s="229"/>
      <c r="Y1049" s="223" t="str">
        <f t="shared" si="35"/>
        <v/>
      </c>
    </row>
    <row r="1050" spans="1:25" s="223" customFormat="1" ht="20.25">
      <c r="A1050" s="291"/>
      <c r="B1050" s="292" t="str">
        <f>IF(LEN(A1050)=0,"",INDEX('Smelter Reference List'!$A:$A,MATCH($A1050,'Smelter Reference List'!$E:$E,0)))</f>
        <v/>
      </c>
      <c r="C1050" s="298" t="str">
        <f>IF(LEN(A1050)=0,"",INDEX('Smelter Reference List'!$C:$C,MATCH($A1050,'Smelter Reference List'!$E:$E,0)))</f>
        <v/>
      </c>
      <c r="D1050" s="292" t="str">
        <f ca="1">IF(ISERROR($S1050),"",OFFSET('Smelter Reference List'!$C$4,$S1050-4,0)&amp;"")</f>
        <v/>
      </c>
      <c r="E1050" s="292" t="str">
        <f ca="1">IF(ISERROR($S1050),"",OFFSET('Smelter Reference List'!$D$4,$S1050-4,0)&amp;"")</f>
        <v/>
      </c>
      <c r="F1050" s="292" t="str">
        <f ca="1">IF(ISERROR($S1050),"",OFFSET('Smelter Reference List'!$E$4,$S1050-4,0))</f>
        <v/>
      </c>
      <c r="G1050" s="292" t="str">
        <f ca="1">IF(C1050=$U$4,"Enter smelter details", IF(ISERROR($S1050),"",OFFSET('Smelter Reference List'!$F$4,$S1050-4,0)))</f>
        <v/>
      </c>
      <c r="H1050" s="293" t="str">
        <f ca="1">IF(ISERROR($S1050),"",OFFSET('Smelter Reference List'!$G$4,$S1050-4,0))</f>
        <v/>
      </c>
      <c r="I1050" s="294" t="str">
        <f ca="1">IF(ISERROR($S1050),"",OFFSET('Smelter Reference List'!$H$4,$S1050-4,0))</f>
        <v/>
      </c>
      <c r="J1050" s="294" t="str">
        <f ca="1">IF(ISERROR($S1050),"",OFFSET('Smelter Reference List'!$I$4,$S1050-4,0))</f>
        <v/>
      </c>
      <c r="K1050" s="295"/>
      <c r="L1050" s="295"/>
      <c r="M1050" s="295"/>
      <c r="N1050" s="295"/>
      <c r="O1050" s="295"/>
      <c r="P1050" s="295"/>
      <c r="Q1050" s="296"/>
      <c r="R1050" s="227"/>
      <c r="S1050" s="228" t="e">
        <f>IF(C1050="",NA(),MATCH($B1050&amp;$C1050,'Smelter Reference List'!$J:$J,0))</f>
        <v>#N/A</v>
      </c>
      <c r="T1050" s="229"/>
      <c r="U1050" s="229">
        <f t="shared" ca="1" si="34"/>
        <v>0</v>
      </c>
      <c r="V1050" s="229"/>
      <c r="W1050" s="229"/>
      <c r="Y1050" s="223" t="str">
        <f t="shared" si="35"/>
        <v/>
      </c>
    </row>
    <row r="1051" spans="1:25" s="223" customFormat="1" ht="20.25">
      <c r="A1051" s="291"/>
      <c r="B1051" s="292" t="str">
        <f>IF(LEN(A1051)=0,"",INDEX('Smelter Reference List'!$A:$A,MATCH($A1051,'Smelter Reference List'!$E:$E,0)))</f>
        <v/>
      </c>
      <c r="C1051" s="298" t="str">
        <f>IF(LEN(A1051)=0,"",INDEX('Smelter Reference List'!$C:$C,MATCH($A1051,'Smelter Reference List'!$E:$E,0)))</f>
        <v/>
      </c>
      <c r="D1051" s="292" t="str">
        <f ca="1">IF(ISERROR($S1051),"",OFFSET('Smelter Reference List'!$C$4,$S1051-4,0)&amp;"")</f>
        <v/>
      </c>
      <c r="E1051" s="292" t="str">
        <f ca="1">IF(ISERROR($S1051),"",OFFSET('Smelter Reference List'!$D$4,$S1051-4,0)&amp;"")</f>
        <v/>
      </c>
      <c r="F1051" s="292" t="str">
        <f ca="1">IF(ISERROR($S1051),"",OFFSET('Smelter Reference List'!$E$4,$S1051-4,0))</f>
        <v/>
      </c>
      <c r="G1051" s="292" t="str">
        <f ca="1">IF(C1051=$U$4,"Enter smelter details", IF(ISERROR($S1051),"",OFFSET('Smelter Reference List'!$F$4,$S1051-4,0)))</f>
        <v/>
      </c>
      <c r="H1051" s="293" t="str">
        <f ca="1">IF(ISERROR($S1051),"",OFFSET('Smelter Reference List'!$G$4,$S1051-4,0))</f>
        <v/>
      </c>
      <c r="I1051" s="294" t="str">
        <f ca="1">IF(ISERROR($S1051),"",OFFSET('Smelter Reference List'!$H$4,$S1051-4,0))</f>
        <v/>
      </c>
      <c r="J1051" s="294" t="str">
        <f ca="1">IF(ISERROR($S1051),"",OFFSET('Smelter Reference List'!$I$4,$S1051-4,0))</f>
        <v/>
      </c>
      <c r="K1051" s="295"/>
      <c r="L1051" s="295"/>
      <c r="M1051" s="295"/>
      <c r="N1051" s="295"/>
      <c r="O1051" s="295"/>
      <c r="P1051" s="295"/>
      <c r="Q1051" s="296"/>
      <c r="R1051" s="227"/>
      <c r="S1051" s="228" t="e">
        <f>IF(C1051="",NA(),MATCH($B1051&amp;$C1051,'Smelter Reference List'!$J:$J,0))</f>
        <v>#N/A</v>
      </c>
      <c r="T1051" s="229"/>
      <c r="U1051" s="229">
        <f t="shared" ca="1" si="34"/>
        <v>0</v>
      </c>
      <c r="V1051" s="229"/>
      <c r="W1051" s="229"/>
      <c r="Y1051" s="223" t="str">
        <f t="shared" si="35"/>
        <v/>
      </c>
    </row>
    <row r="1052" spans="1:25" s="223" customFormat="1" ht="20.25">
      <c r="A1052" s="291"/>
      <c r="B1052" s="292" t="str">
        <f>IF(LEN(A1052)=0,"",INDEX('Smelter Reference List'!$A:$A,MATCH($A1052,'Smelter Reference List'!$E:$E,0)))</f>
        <v/>
      </c>
      <c r="C1052" s="298" t="str">
        <f>IF(LEN(A1052)=0,"",INDEX('Smelter Reference List'!$C:$C,MATCH($A1052,'Smelter Reference List'!$E:$E,0)))</f>
        <v/>
      </c>
      <c r="D1052" s="292" t="str">
        <f ca="1">IF(ISERROR($S1052),"",OFFSET('Smelter Reference List'!$C$4,$S1052-4,0)&amp;"")</f>
        <v/>
      </c>
      <c r="E1052" s="292" t="str">
        <f ca="1">IF(ISERROR($S1052),"",OFFSET('Smelter Reference List'!$D$4,$S1052-4,0)&amp;"")</f>
        <v/>
      </c>
      <c r="F1052" s="292" t="str">
        <f ca="1">IF(ISERROR($S1052),"",OFFSET('Smelter Reference List'!$E$4,$S1052-4,0))</f>
        <v/>
      </c>
      <c r="G1052" s="292" t="str">
        <f ca="1">IF(C1052=$U$4,"Enter smelter details", IF(ISERROR($S1052),"",OFFSET('Smelter Reference List'!$F$4,$S1052-4,0)))</f>
        <v/>
      </c>
      <c r="H1052" s="293" t="str">
        <f ca="1">IF(ISERROR($S1052),"",OFFSET('Smelter Reference List'!$G$4,$S1052-4,0))</f>
        <v/>
      </c>
      <c r="I1052" s="294" t="str">
        <f ca="1">IF(ISERROR($S1052),"",OFFSET('Smelter Reference List'!$H$4,$S1052-4,0))</f>
        <v/>
      </c>
      <c r="J1052" s="294" t="str">
        <f ca="1">IF(ISERROR($S1052),"",OFFSET('Smelter Reference List'!$I$4,$S1052-4,0))</f>
        <v/>
      </c>
      <c r="K1052" s="295"/>
      <c r="L1052" s="295"/>
      <c r="M1052" s="295"/>
      <c r="N1052" s="295"/>
      <c r="O1052" s="295"/>
      <c r="P1052" s="295"/>
      <c r="Q1052" s="296"/>
      <c r="R1052" s="227"/>
      <c r="S1052" s="228" t="e">
        <f>IF(C1052="",NA(),MATCH($B1052&amp;$C1052,'Smelter Reference List'!$J:$J,0))</f>
        <v>#N/A</v>
      </c>
      <c r="T1052" s="229"/>
      <c r="U1052" s="229">
        <f t="shared" ca="1" si="34"/>
        <v>0</v>
      </c>
      <c r="V1052" s="229"/>
      <c r="W1052" s="229"/>
      <c r="Y1052" s="223" t="str">
        <f t="shared" si="35"/>
        <v/>
      </c>
    </row>
    <row r="1053" spans="1:25" s="223" customFormat="1" ht="20.25">
      <c r="A1053" s="291"/>
      <c r="B1053" s="292" t="str">
        <f>IF(LEN(A1053)=0,"",INDEX('Smelter Reference List'!$A:$A,MATCH($A1053,'Smelter Reference List'!$E:$E,0)))</f>
        <v/>
      </c>
      <c r="C1053" s="298" t="str">
        <f>IF(LEN(A1053)=0,"",INDEX('Smelter Reference List'!$C:$C,MATCH($A1053,'Smelter Reference List'!$E:$E,0)))</f>
        <v/>
      </c>
      <c r="D1053" s="292" t="str">
        <f ca="1">IF(ISERROR($S1053),"",OFFSET('Smelter Reference List'!$C$4,$S1053-4,0)&amp;"")</f>
        <v/>
      </c>
      <c r="E1053" s="292" t="str">
        <f ca="1">IF(ISERROR($S1053),"",OFFSET('Smelter Reference List'!$D$4,$S1053-4,0)&amp;"")</f>
        <v/>
      </c>
      <c r="F1053" s="292" t="str">
        <f ca="1">IF(ISERROR($S1053),"",OFFSET('Smelter Reference List'!$E$4,$S1053-4,0))</f>
        <v/>
      </c>
      <c r="G1053" s="292" t="str">
        <f ca="1">IF(C1053=$U$4,"Enter smelter details", IF(ISERROR($S1053),"",OFFSET('Smelter Reference List'!$F$4,$S1053-4,0)))</f>
        <v/>
      </c>
      <c r="H1053" s="293" t="str">
        <f ca="1">IF(ISERROR($S1053),"",OFFSET('Smelter Reference List'!$G$4,$S1053-4,0))</f>
        <v/>
      </c>
      <c r="I1053" s="294" t="str">
        <f ca="1">IF(ISERROR($S1053),"",OFFSET('Smelter Reference List'!$H$4,$S1053-4,0))</f>
        <v/>
      </c>
      <c r="J1053" s="294" t="str">
        <f ca="1">IF(ISERROR($S1053),"",OFFSET('Smelter Reference List'!$I$4,$S1053-4,0))</f>
        <v/>
      </c>
      <c r="K1053" s="295"/>
      <c r="L1053" s="295"/>
      <c r="M1053" s="295"/>
      <c r="N1053" s="295"/>
      <c r="O1053" s="295"/>
      <c r="P1053" s="295"/>
      <c r="Q1053" s="296"/>
      <c r="R1053" s="227"/>
      <c r="S1053" s="228" t="e">
        <f>IF(C1053="",NA(),MATCH($B1053&amp;$C1053,'Smelter Reference List'!$J:$J,0))</f>
        <v>#N/A</v>
      </c>
      <c r="T1053" s="229"/>
      <c r="U1053" s="229">
        <f t="shared" ca="1" si="34"/>
        <v>0</v>
      </c>
      <c r="V1053" s="229"/>
      <c r="W1053" s="229"/>
      <c r="Y1053" s="223" t="str">
        <f t="shared" si="35"/>
        <v/>
      </c>
    </row>
    <row r="1054" spans="1:25" s="223" customFormat="1" ht="20.25">
      <c r="A1054" s="291"/>
      <c r="B1054" s="292" t="str">
        <f>IF(LEN(A1054)=0,"",INDEX('Smelter Reference List'!$A:$A,MATCH($A1054,'Smelter Reference List'!$E:$E,0)))</f>
        <v/>
      </c>
      <c r="C1054" s="298" t="str">
        <f>IF(LEN(A1054)=0,"",INDEX('Smelter Reference List'!$C:$C,MATCH($A1054,'Smelter Reference List'!$E:$E,0)))</f>
        <v/>
      </c>
      <c r="D1054" s="292" t="str">
        <f ca="1">IF(ISERROR($S1054),"",OFFSET('Smelter Reference List'!$C$4,$S1054-4,0)&amp;"")</f>
        <v/>
      </c>
      <c r="E1054" s="292" t="str">
        <f ca="1">IF(ISERROR($S1054),"",OFFSET('Smelter Reference List'!$D$4,$S1054-4,0)&amp;"")</f>
        <v/>
      </c>
      <c r="F1054" s="292" t="str">
        <f ca="1">IF(ISERROR($S1054),"",OFFSET('Smelter Reference List'!$E$4,$S1054-4,0))</f>
        <v/>
      </c>
      <c r="G1054" s="292" t="str">
        <f ca="1">IF(C1054=$U$4,"Enter smelter details", IF(ISERROR($S1054),"",OFFSET('Smelter Reference List'!$F$4,$S1054-4,0)))</f>
        <v/>
      </c>
      <c r="H1054" s="293" t="str">
        <f ca="1">IF(ISERROR($S1054),"",OFFSET('Smelter Reference List'!$G$4,$S1054-4,0))</f>
        <v/>
      </c>
      <c r="I1054" s="294" t="str">
        <f ca="1">IF(ISERROR($S1054),"",OFFSET('Smelter Reference List'!$H$4,$S1054-4,0))</f>
        <v/>
      </c>
      <c r="J1054" s="294" t="str">
        <f ca="1">IF(ISERROR($S1054),"",OFFSET('Smelter Reference List'!$I$4,$S1054-4,0))</f>
        <v/>
      </c>
      <c r="K1054" s="295"/>
      <c r="L1054" s="295"/>
      <c r="M1054" s="295"/>
      <c r="N1054" s="295"/>
      <c r="O1054" s="295"/>
      <c r="P1054" s="295"/>
      <c r="Q1054" s="296"/>
      <c r="R1054" s="227"/>
      <c r="S1054" s="228" t="e">
        <f>IF(C1054="",NA(),MATCH($B1054&amp;$C1054,'Smelter Reference List'!$J:$J,0))</f>
        <v>#N/A</v>
      </c>
      <c r="T1054" s="229"/>
      <c r="U1054" s="229">
        <f t="shared" ca="1" si="34"/>
        <v>0</v>
      </c>
      <c r="V1054" s="229"/>
      <c r="W1054" s="229"/>
      <c r="Y1054" s="223" t="str">
        <f t="shared" si="35"/>
        <v/>
      </c>
    </row>
    <row r="1055" spans="1:25" s="223" customFormat="1" ht="20.25">
      <c r="A1055" s="291"/>
      <c r="B1055" s="292" t="str">
        <f>IF(LEN(A1055)=0,"",INDEX('Smelter Reference List'!$A:$A,MATCH($A1055,'Smelter Reference List'!$E:$E,0)))</f>
        <v/>
      </c>
      <c r="C1055" s="298" t="str">
        <f>IF(LEN(A1055)=0,"",INDEX('Smelter Reference List'!$C:$C,MATCH($A1055,'Smelter Reference List'!$E:$E,0)))</f>
        <v/>
      </c>
      <c r="D1055" s="292" t="str">
        <f ca="1">IF(ISERROR($S1055),"",OFFSET('Smelter Reference List'!$C$4,$S1055-4,0)&amp;"")</f>
        <v/>
      </c>
      <c r="E1055" s="292" t="str">
        <f ca="1">IF(ISERROR($S1055),"",OFFSET('Smelter Reference List'!$D$4,$S1055-4,0)&amp;"")</f>
        <v/>
      </c>
      <c r="F1055" s="292" t="str">
        <f ca="1">IF(ISERROR($S1055),"",OFFSET('Smelter Reference List'!$E$4,$S1055-4,0))</f>
        <v/>
      </c>
      <c r="G1055" s="292" t="str">
        <f ca="1">IF(C1055=$U$4,"Enter smelter details", IF(ISERROR($S1055),"",OFFSET('Smelter Reference List'!$F$4,$S1055-4,0)))</f>
        <v/>
      </c>
      <c r="H1055" s="293" t="str">
        <f ca="1">IF(ISERROR($S1055),"",OFFSET('Smelter Reference List'!$G$4,$S1055-4,0))</f>
        <v/>
      </c>
      <c r="I1055" s="294" t="str">
        <f ca="1">IF(ISERROR($S1055),"",OFFSET('Smelter Reference List'!$H$4,$S1055-4,0))</f>
        <v/>
      </c>
      <c r="J1055" s="294" t="str">
        <f ca="1">IF(ISERROR($S1055),"",OFFSET('Smelter Reference List'!$I$4,$S1055-4,0))</f>
        <v/>
      </c>
      <c r="K1055" s="295"/>
      <c r="L1055" s="295"/>
      <c r="M1055" s="295"/>
      <c r="N1055" s="295"/>
      <c r="O1055" s="295"/>
      <c r="P1055" s="295"/>
      <c r="Q1055" s="296"/>
      <c r="R1055" s="227"/>
      <c r="S1055" s="228" t="e">
        <f>IF(C1055="",NA(),MATCH($B1055&amp;$C1055,'Smelter Reference List'!$J:$J,0))</f>
        <v>#N/A</v>
      </c>
      <c r="T1055" s="229"/>
      <c r="U1055" s="229">
        <f t="shared" ca="1" si="34"/>
        <v>0</v>
      </c>
      <c r="V1055" s="229"/>
      <c r="W1055" s="229"/>
      <c r="Y1055" s="223" t="str">
        <f t="shared" si="35"/>
        <v/>
      </c>
    </row>
    <row r="1056" spans="1:25" s="223" customFormat="1" ht="20.25">
      <c r="A1056" s="291"/>
      <c r="B1056" s="292" t="str">
        <f>IF(LEN(A1056)=0,"",INDEX('Smelter Reference List'!$A:$A,MATCH($A1056,'Smelter Reference List'!$E:$E,0)))</f>
        <v/>
      </c>
      <c r="C1056" s="298" t="str">
        <f>IF(LEN(A1056)=0,"",INDEX('Smelter Reference List'!$C:$C,MATCH($A1056,'Smelter Reference List'!$E:$E,0)))</f>
        <v/>
      </c>
      <c r="D1056" s="292" t="str">
        <f ca="1">IF(ISERROR($S1056),"",OFFSET('Smelter Reference List'!$C$4,$S1056-4,0)&amp;"")</f>
        <v/>
      </c>
      <c r="E1056" s="292" t="str">
        <f ca="1">IF(ISERROR($S1056),"",OFFSET('Smelter Reference List'!$D$4,$S1056-4,0)&amp;"")</f>
        <v/>
      </c>
      <c r="F1056" s="292" t="str">
        <f ca="1">IF(ISERROR($S1056),"",OFFSET('Smelter Reference List'!$E$4,$S1056-4,0))</f>
        <v/>
      </c>
      <c r="G1056" s="292" t="str">
        <f ca="1">IF(C1056=$U$4,"Enter smelter details", IF(ISERROR($S1056),"",OFFSET('Smelter Reference List'!$F$4,$S1056-4,0)))</f>
        <v/>
      </c>
      <c r="H1056" s="293" t="str">
        <f ca="1">IF(ISERROR($S1056),"",OFFSET('Smelter Reference List'!$G$4,$S1056-4,0))</f>
        <v/>
      </c>
      <c r="I1056" s="294" t="str">
        <f ca="1">IF(ISERROR($S1056),"",OFFSET('Smelter Reference List'!$H$4,$S1056-4,0))</f>
        <v/>
      </c>
      <c r="J1056" s="294" t="str">
        <f ca="1">IF(ISERROR($S1056),"",OFFSET('Smelter Reference List'!$I$4,$S1056-4,0))</f>
        <v/>
      </c>
      <c r="K1056" s="295"/>
      <c r="L1056" s="295"/>
      <c r="M1056" s="295"/>
      <c r="N1056" s="295"/>
      <c r="O1056" s="295"/>
      <c r="P1056" s="295"/>
      <c r="Q1056" s="296"/>
      <c r="R1056" s="227"/>
      <c r="S1056" s="228" t="e">
        <f>IF(C1056="",NA(),MATCH($B1056&amp;$C1056,'Smelter Reference List'!$J:$J,0))</f>
        <v>#N/A</v>
      </c>
      <c r="T1056" s="229"/>
      <c r="U1056" s="229">
        <f t="shared" ca="1" si="34"/>
        <v>0</v>
      </c>
      <c r="V1056" s="229"/>
      <c r="W1056" s="229"/>
      <c r="Y1056" s="223" t="str">
        <f t="shared" si="35"/>
        <v/>
      </c>
    </row>
    <row r="1057" spans="1:25" s="223" customFormat="1" ht="20.25">
      <c r="A1057" s="291"/>
      <c r="B1057" s="292" t="str">
        <f>IF(LEN(A1057)=0,"",INDEX('Smelter Reference List'!$A:$A,MATCH($A1057,'Smelter Reference List'!$E:$E,0)))</f>
        <v/>
      </c>
      <c r="C1057" s="298" t="str">
        <f>IF(LEN(A1057)=0,"",INDEX('Smelter Reference List'!$C:$C,MATCH($A1057,'Smelter Reference List'!$E:$E,0)))</f>
        <v/>
      </c>
      <c r="D1057" s="292" t="str">
        <f ca="1">IF(ISERROR($S1057),"",OFFSET('Smelter Reference List'!$C$4,$S1057-4,0)&amp;"")</f>
        <v/>
      </c>
      <c r="E1057" s="292" t="str">
        <f ca="1">IF(ISERROR($S1057),"",OFFSET('Smelter Reference List'!$D$4,$S1057-4,0)&amp;"")</f>
        <v/>
      </c>
      <c r="F1057" s="292" t="str">
        <f ca="1">IF(ISERROR($S1057),"",OFFSET('Smelter Reference List'!$E$4,$S1057-4,0))</f>
        <v/>
      </c>
      <c r="G1057" s="292" t="str">
        <f ca="1">IF(C1057=$U$4,"Enter smelter details", IF(ISERROR($S1057),"",OFFSET('Smelter Reference List'!$F$4,$S1057-4,0)))</f>
        <v/>
      </c>
      <c r="H1057" s="293" t="str">
        <f ca="1">IF(ISERROR($S1057),"",OFFSET('Smelter Reference List'!$G$4,$S1057-4,0))</f>
        <v/>
      </c>
      <c r="I1057" s="294" t="str">
        <f ca="1">IF(ISERROR($S1057),"",OFFSET('Smelter Reference List'!$H$4,$S1057-4,0))</f>
        <v/>
      </c>
      <c r="J1057" s="294" t="str">
        <f ca="1">IF(ISERROR($S1057),"",OFFSET('Smelter Reference List'!$I$4,$S1057-4,0))</f>
        <v/>
      </c>
      <c r="K1057" s="295"/>
      <c r="L1057" s="295"/>
      <c r="M1057" s="295"/>
      <c r="N1057" s="295"/>
      <c r="O1057" s="295"/>
      <c r="P1057" s="295"/>
      <c r="Q1057" s="296"/>
      <c r="R1057" s="227"/>
      <c r="S1057" s="228" t="e">
        <f>IF(C1057="",NA(),MATCH($B1057&amp;$C1057,'Smelter Reference List'!$J:$J,0))</f>
        <v>#N/A</v>
      </c>
      <c r="T1057" s="229"/>
      <c r="U1057" s="229">
        <f t="shared" ca="1" si="34"/>
        <v>0</v>
      </c>
      <c r="V1057" s="229"/>
      <c r="W1057" s="229"/>
      <c r="Y1057" s="223" t="str">
        <f t="shared" si="35"/>
        <v/>
      </c>
    </row>
    <row r="1058" spans="1:25" s="223" customFormat="1" ht="20.25">
      <c r="A1058" s="291"/>
      <c r="B1058" s="292" t="str">
        <f>IF(LEN(A1058)=0,"",INDEX('Smelter Reference List'!$A:$A,MATCH($A1058,'Smelter Reference List'!$E:$E,0)))</f>
        <v/>
      </c>
      <c r="C1058" s="298" t="str">
        <f>IF(LEN(A1058)=0,"",INDEX('Smelter Reference List'!$C:$C,MATCH($A1058,'Smelter Reference List'!$E:$E,0)))</f>
        <v/>
      </c>
      <c r="D1058" s="292" t="str">
        <f ca="1">IF(ISERROR($S1058),"",OFFSET('Smelter Reference List'!$C$4,$S1058-4,0)&amp;"")</f>
        <v/>
      </c>
      <c r="E1058" s="292" t="str">
        <f ca="1">IF(ISERROR($S1058),"",OFFSET('Smelter Reference List'!$D$4,$S1058-4,0)&amp;"")</f>
        <v/>
      </c>
      <c r="F1058" s="292" t="str">
        <f ca="1">IF(ISERROR($S1058),"",OFFSET('Smelter Reference List'!$E$4,$S1058-4,0))</f>
        <v/>
      </c>
      <c r="G1058" s="292" t="str">
        <f ca="1">IF(C1058=$U$4,"Enter smelter details", IF(ISERROR($S1058),"",OFFSET('Smelter Reference List'!$F$4,$S1058-4,0)))</f>
        <v/>
      </c>
      <c r="H1058" s="293" t="str">
        <f ca="1">IF(ISERROR($S1058),"",OFFSET('Smelter Reference List'!$G$4,$S1058-4,0))</f>
        <v/>
      </c>
      <c r="I1058" s="294" t="str">
        <f ca="1">IF(ISERROR($S1058),"",OFFSET('Smelter Reference List'!$H$4,$S1058-4,0))</f>
        <v/>
      </c>
      <c r="J1058" s="294" t="str">
        <f ca="1">IF(ISERROR($S1058),"",OFFSET('Smelter Reference List'!$I$4,$S1058-4,0))</f>
        <v/>
      </c>
      <c r="K1058" s="295"/>
      <c r="L1058" s="295"/>
      <c r="M1058" s="295"/>
      <c r="N1058" s="295"/>
      <c r="O1058" s="295"/>
      <c r="P1058" s="295"/>
      <c r="Q1058" s="296"/>
      <c r="R1058" s="227"/>
      <c r="S1058" s="228" t="e">
        <f>IF(C1058="",NA(),MATCH($B1058&amp;$C1058,'Smelter Reference List'!$J:$J,0))</f>
        <v>#N/A</v>
      </c>
      <c r="T1058" s="229"/>
      <c r="U1058" s="229">
        <f t="shared" ca="1" si="34"/>
        <v>0</v>
      </c>
      <c r="V1058" s="229"/>
      <c r="W1058" s="229"/>
      <c r="Y1058" s="223" t="str">
        <f t="shared" si="35"/>
        <v/>
      </c>
    </row>
    <row r="1059" spans="1:25" s="223" customFormat="1" ht="20.25">
      <c r="A1059" s="291"/>
      <c r="B1059" s="292" t="str">
        <f>IF(LEN(A1059)=0,"",INDEX('Smelter Reference List'!$A:$A,MATCH($A1059,'Smelter Reference List'!$E:$E,0)))</f>
        <v/>
      </c>
      <c r="C1059" s="298" t="str">
        <f>IF(LEN(A1059)=0,"",INDEX('Smelter Reference List'!$C:$C,MATCH($A1059,'Smelter Reference List'!$E:$E,0)))</f>
        <v/>
      </c>
      <c r="D1059" s="292" t="str">
        <f ca="1">IF(ISERROR($S1059),"",OFFSET('Smelter Reference List'!$C$4,$S1059-4,0)&amp;"")</f>
        <v/>
      </c>
      <c r="E1059" s="292" t="str">
        <f ca="1">IF(ISERROR($S1059),"",OFFSET('Smelter Reference List'!$D$4,$S1059-4,0)&amp;"")</f>
        <v/>
      </c>
      <c r="F1059" s="292" t="str">
        <f ca="1">IF(ISERROR($S1059),"",OFFSET('Smelter Reference List'!$E$4,$S1059-4,0))</f>
        <v/>
      </c>
      <c r="G1059" s="292" t="str">
        <f ca="1">IF(C1059=$U$4,"Enter smelter details", IF(ISERROR($S1059),"",OFFSET('Smelter Reference List'!$F$4,$S1059-4,0)))</f>
        <v/>
      </c>
      <c r="H1059" s="293" t="str">
        <f ca="1">IF(ISERROR($S1059),"",OFFSET('Smelter Reference List'!$G$4,$S1059-4,0))</f>
        <v/>
      </c>
      <c r="I1059" s="294" t="str">
        <f ca="1">IF(ISERROR($S1059),"",OFFSET('Smelter Reference List'!$H$4,$S1059-4,0))</f>
        <v/>
      </c>
      <c r="J1059" s="294" t="str">
        <f ca="1">IF(ISERROR($S1059),"",OFFSET('Smelter Reference List'!$I$4,$S1059-4,0))</f>
        <v/>
      </c>
      <c r="K1059" s="295"/>
      <c r="L1059" s="295"/>
      <c r="M1059" s="295"/>
      <c r="N1059" s="295"/>
      <c r="O1059" s="295"/>
      <c r="P1059" s="295"/>
      <c r="Q1059" s="296"/>
      <c r="R1059" s="227"/>
      <c r="S1059" s="228" t="e">
        <f>IF(C1059="",NA(),MATCH($B1059&amp;$C1059,'Smelter Reference List'!$J:$J,0))</f>
        <v>#N/A</v>
      </c>
      <c r="T1059" s="229"/>
      <c r="U1059" s="229">
        <f t="shared" ca="1" si="34"/>
        <v>0</v>
      </c>
      <c r="V1059" s="229"/>
      <c r="W1059" s="229"/>
      <c r="Y1059" s="223" t="str">
        <f t="shared" si="35"/>
        <v/>
      </c>
    </row>
    <row r="1060" spans="1:25" s="223" customFormat="1" ht="20.25">
      <c r="A1060" s="291"/>
      <c r="B1060" s="292" t="str">
        <f>IF(LEN(A1060)=0,"",INDEX('Smelter Reference List'!$A:$A,MATCH($A1060,'Smelter Reference List'!$E:$E,0)))</f>
        <v/>
      </c>
      <c r="C1060" s="298" t="str">
        <f>IF(LEN(A1060)=0,"",INDEX('Smelter Reference List'!$C:$C,MATCH($A1060,'Smelter Reference List'!$E:$E,0)))</f>
        <v/>
      </c>
      <c r="D1060" s="292" t="str">
        <f ca="1">IF(ISERROR($S1060),"",OFFSET('Smelter Reference List'!$C$4,$S1060-4,0)&amp;"")</f>
        <v/>
      </c>
      <c r="E1060" s="292" t="str">
        <f ca="1">IF(ISERROR($S1060),"",OFFSET('Smelter Reference List'!$D$4,$S1060-4,0)&amp;"")</f>
        <v/>
      </c>
      <c r="F1060" s="292" t="str">
        <f ca="1">IF(ISERROR($S1060),"",OFFSET('Smelter Reference List'!$E$4,$S1060-4,0))</f>
        <v/>
      </c>
      <c r="G1060" s="292" t="str">
        <f ca="1">IF(C1060=$U$4,"Enter smelter details", IF(ISERROR($S1060),"",OFFSET('Smelter Reference List'!$F$4,$S1060-4,0)))</f>
        <v/>
      </c>
      <c r="H1060" s="293" t="str">
        <f ca="1">IF(ISERROR($S1060),"",OFFSET('Smelter Reference List'!$G$4,$S1060-4,0))</f>
        <v/>
      </c>
      <c r="I1060" s="294" t="str">
        <f ca="1">IF(ISERROR($S1060),"",OFFSET('Smelter Reference List'!$H$4,$S1060-4,0))</f>
        <v/>
      </c>
      <c r="J1060" s="294" t="str">
        <f ca="1">IF(ISERROR($S1060),"",OFFSET('Smelter Reference List'!$I$4,$S1060-4,0))</f>
        <v/>
      </c>
      <c r="K1060" s="295"/>
      <c r="L1060" s="295"/>
      <c r="M1060" s="295"/>
      <c r="N1060" s="295"/>
      <c r="O1060" s="295"/>
      <c r="P1060" s="295"/>
      <c r="Q1060" s="296"/>
      <c r="R1060" s="227"/>
      <c r="S1060" s="228" t="e">
        <f>IF(C1060="",NA(),MATCH($B1060&amp;$C1060,'Smelter Reference List'!$J:$J,0))</f>
        <v>#N/A</v>
      </c>
      <c r="T1060" s="229"/>
      <c r="U1060" s="229">
        <f t="shared" ca="1" si="34"/>
        <v>0</v>
      </c>
      <c r="V1060" s="229"/>
      <c r="W1060" s="229"/>
      <c r="Y1060" s="223" t="str">
        <f t="shared" si="35"/>
        <v/>
      </c>
    </row>
    <row r="1061" spans="1:25" s="223" customFormat="1" ht="20.25">
      <c r="A1061" s="291"/>
      <c r="B1061" s="292" t="str">
        <f>IF(LEN(A1061)=0,"",INDEX('Smelter Reference List'!$A:$A,MATCH($A1061,'Smelter Reference List'!$E:$E,0)))</f>
        <v/>
      </c>
      <c r="C1061" s="298" t="str">
        <f>IF(LEN(A1061)=0,"",INDEX('Smelter Reference List'!$C:$C,MATCH($A1061,'Smelter Reference List'!$E:$E,0)))</f>
        <v/>
      </c>
      <c r="D1061" s="292" t="str">
        <f ca="1">IF(ISERROR($S1061),"",OFFSET('Smelter Reference List'!$C$4,$S1061-4,0)&amp;"")</f>
        <v/>
      </c>
      <c r="E1061" s="292" t="str">
        <f ca="1">IF(ISERROR($S1061),"",OFFSET('Smelter Reference List'!$D$4,$S1061-4,0)&amp;"")</f>
        <v/>
      </c>
      <c r="F1061" s="292" t="str">
        <f ca="1">IF(ISERROR($S1061),"",OFFSET('Smelter Reference List'!$E$4,$S1061-4,0))</f>
        <v/>
      </c>
      <c r="G1061" s="292" t="str">
        <f ca="1">IF(C1061=$U$4,"Enter smelter details", IF(ISERROR($S1061),"",OFFSET('Smelter Reference List'!$F$4,$S1061-4,0)))</f>
        <v/>
      </c>
      <c r="H1061" s="293" t="str">
        <f ca="1">IF(ISERROR($S1061),"",OFFSET('Smelter Reference List'!$G$4,$S1061-4,0))</f>
        <v/>
      </c>
      <c r="I1061" s="294" t="str">
        <f ca="1">IF(ISERROR($S1061),"",OFFSET('Smelter Reference List'!$H$4,$S1061-4,0))</f>
        <v/>
      </c>
      <c r="J1061" s="294" t="str">
        <f ca="1">IF(ISERROR($S1061),"",OFFSET('Smelter Reference List'!$I$4,$S1061-4,0))</f>
        <v/>
      </c>
      <c r="K1061" s="295"/>
      <c r="L1061" s="295"/>
      <c r="M1061" s="295"/>
      <c r="N1061" s="295"/>
      <c r="O1061" s="295"/>
      <c r="P1061" s="295"/>
      <c r="Q1061" s="296"/>
      <c r="R1061" s="227"/>
      <c r="S1061" s="228" t="e">
        <f>IF(C1061="",NA(),MATCH($B1061&amp;$C1061,'Smelter Reference List'!$J:$J,0))</f>
        <v>#N/A</v>
      </c>
      <c r="T1061" s="229"/>
      <c r="U1061" s="229">
        <f t="shared" ca="1" si="34"/>
        <v>0</v>
      </c>
      <c r="V1061" s="229"/>
      <c r="W1061" s="229"/>
      <c r="Y1061" s="223" t="str">
        <f t="shared" si="35"/>
        <v/>
      </c>
    </row>
    <row r="1062" spans="1:25" s="223" customFormat="1" ht="20.25">
      <c r="A1062" s="291"/>
      <c r="B1062" s="292" t="str">
        <f>IF(LEN(A1062)=0,"",INDEX('Smelter Reference List'!$A:$A,MATCH($A1062,'Smelter Reference List'!$E:$E,0)))</f>
        <v/>
      </c>
      <c r="C1062" s="298" t="str">
        <f>IF(LEN(A1062)=0,"",INDEX('Smelter Reference List'!$C:$C,MATCH($A1062,'Smelter Reference List'!$E:$E,0)))</f>
        <v/>
      </c>
      <c r="D1062" s="292" t="str">
        <f ca="1">IF(ISERROR($S1062),"",OFFSET('Smelter Reference List'!$C$4,$S1062-4,0)&amp;"")</f>
        <v/>
      </c>
      <c r="E1062" s="292" t="str">
        <f ca="1">IF(ISERROR($S1062),"",OFFSET('Smelter Reference List'!$D$4,$S1062-4,0)&amp;"")</f>
        <v/>
      </c>
      <c r="F1062" s="292" t="str">
        <f ca="1">IF(ISERROR($S1062),"",OFFSET('Smelter Reference List'!$E$4,$S1062-4,0))</f>
        <v/>
      </c>
      <c r="G1062" s="292" t="str">
        <f ca="1">IF(C1062=$U$4,"Enter smelter details", IF(ISERROR($S1062),"",OFFSET('Smelter Reference List'!$F$4,$S1062-4,0)))</f>
        <v/>
      </c>
      <c r="H1062" s="293" t="str">
        <f ca="1">IF(ISERROR($S1062),"",OFFSET('Smelter Reference List'!$G$4,$S1062-4,0))</f>
        <v/>
      </c>
      <c r="I1062" s="294" t="str">
        <f ca="1">IF(ISERROR($S1062),"",OFFSET('Smelter Reference List'!$H$4,$S1062-4,0))</f>
        <v/>
      </c>
      <c r="J1062" s="294" t="str">
        <f ca="1">IF(ISERROR($S1062),"",OFFSET('Smelter Reference List'!$I$4,$S1062-4,0))</f>
        <v/>
      </c>
      <c r="K1062" s="295"/>
      <c r="L1062" s="295"/>
      <c r="M1062" s="295"/>
      <c r="N1062" s="295"/>
      <c r="O1062" s="295"/>
      <c r="P1062" s="295"/>
      <c r="Q1062" s="296"/>
      <c r="R1062" s="227"/>
      <c r="S1062" s="228" t="e">
        <f>IF(C1062="",NA(),MATCH($B1062&amp;$C1062,'Smelter Reference List'!$J:$J,0))</f>
        <v>#N/A</v>
      </c>
      <c r="T1062" s="229"/>
      <c r="U1062" s="229">
        <f t="shared" ca="1" si="34"/>
        <v>0</v>
      </c>
      <c r="V1062" s="229"/>
      <c r="W1062" s="229"/>
      <c r="Y1062" s="223" t="str">
        <f t="shared" si="35"/>
        <v/>
      </c>
    </row>
    <row r="1063" spans="1:25" s="223" customFormat="1" ht="20.25">
      <c r="A1063" s="291"/>
      <c r="B1063" s="292" t="str">
        <f>IF(LEN(A1063)=0,"",INDEX('Smelter Reference List'!$A:$A,MATCH($A1063,'Smelter Reference List'!$E:$E,0)))</f>
        <v/>
      </c>
      <c r="C1063" s="298" t="str">
        <f>IF(LEN(A1063)=0,"",INDEX('Smelter Reference List'!$C:$C,MATCH($A1063,'Smelter Reference List'!$E:$E,0)))</f>
        <v/>
      </c>
      <c r="D1063" s="292" t="str">
        <f ca="1">IF(ISERROR($S1063),"",OFFSET('Smelter Reference List'!$C$4,$S1063-4,0)&amp;"")</f>
        <v/>
      </c>
      <c r="E1063" s="292" t="str">
        <f ca="1">IF(ISERROR($S1063),"",OFFSET('Smelter Reference List'!$D$4,$S1063-4,0)&amp;"")</f>
        <v/>
      </c>
      <c r="F1063" s="292" t="str">
        <f ca="1">IF(ISERROR($S1063),"",OFFSET('Smelter Reference List'!$E$4,$S1063-4,0))</f>
        <v/>
      </c>
      <c r="G1063" s="292" t="str">
        <f ca="1">IF(C1063=$U$4,"Enter smelter details", IF(ISERROR($S1063),"",OFFSET('Smelter Reference List'!$F$4,$S1063-4,0)))</f>
        <v/>
      </c>
      <c r="H1063" s="293" t="str">
        <f ca="1">IF(ISERROR($S1063),"",OFFSET('Smelter Reference List'!$G$4,$S1063-4,0))</f>
        <v/>
      </c>
      <c r="I1063" s="294" t="str">
        <f ca="1">IF(ISERROR($S1063),"",OFFSET('Smelter Reference List'!$H$4,$S1063-4,0))</f>
        <v/>
      </c>
      <c r="J1063" s="294" t="str">
        <f ca="1">IF(ISERROR($S1063),"",OFFSET('Smelter Reference List'!$I$4,$S1063-4,0))</f>
        <v/>
      </c>
      <c r="K1063" s="295"/>
      <c r="L1063" s="295"/>
      <c r="M1063" s="295"/>
      <c r="N1063" s="295"/>
      <c r="O1063" s="295"/>
      <c r="P1063" s="295"/>
      <c r="Q1063" s="296"/>
      <c r="R1063" s="227"/>
      <c r="S1063" s="228" t="e">
        <f>IF(C1063="",NA(),MATCH($B1063&amp;$C1063,'Smelter Reference List'!$J:$J,0))</f>
        <v>#N/A</v>
      </c>
      <c r="T1063" s="229"/>
      <c r="U1063" s="229">
        <f t="shared" ca="1" si="34"/>
        <v>0</v>
      </c>
      <c r="V1063" s="229"/>
      <c r="W1063" s="229"/>
      <c r="Y1063" s="223" t="str">
        <f t="shared" si="35"/>
        <v/>
      </c>
    </row>
    <row r="1064" spans="1:25" s="223" customFormat="1" ht="20.25">
      <c r="A1064" s="291"/>
      <c r="B1064" s="292" t="str">
        <f>IF(LEN(A1064)=0,"",INDEX('Smelter Reference List'!$A:$A,MATCH($A1064,'Smelter Reference List'!$E:$E,0)))</f>
        <v/>
      </c>
      <c r="C1064" s="298" t="str">
        <f>IF(LEN(A1064)=0,"",INDEX('Smelter Reference List'!$C:$C,MATCH($A1064,'Smelter Reference List'!$E:$E,0)))</f>
        <v/>
      </c>
      <c r="D1064" s="292" t="str">
        <f ca="1">IF(ISERROR($S1064),"",OFFSET('Smelter Reference List'!$C$4,$S1064-4,0)&amp;"")</f>
        <v/>
      </c>
      <c r="E1064" s="292" t="str">
        <f ca="1">IF(ISERROR($S1064),"",OFFSET('Smelter Reference List'!$D$4,$S1064-4,0)&amp;"")</f>
        <v/>
      </c>
      <c r="F1064" s="292" t="str">
        <f ca="1">IF(ISERROR($S1064),"",OFFSET('Smelter Reference List'!$E$4,$S1064-4,0))</f>
        <v/>
      </c>
      <c r="G1064" s="292" t="str">
        <f ca="1">IF(C1064=$U$4,"Enter smelter details", IF(ISERROR($S1064),"",OFFSET('Smelter Reference List'!$F$4,$S1064-4,0)))</f>
        <v/>
      </c>
      <c r="H1064" s="293" t="str">
        <f ca="1">IF(ISERROR($S1064),"",OFFSET('Smelter Reference List'!$G$4,$S1064-4,0))</f>
        <v/>
      </c>
      <c r="I1064" s="294" t="str">
        <f ca="1">IF(ISERROR($S1064),"",OFFSET('Smelter Reference List'!$H$4,$S1064-4,0))</f>
        <v/>
      </c>
      <c r="J1064" s="294" t="str">
        <f ca="1">IF(ISERROR($S1064),"",OFFSET('Smelter Reference List'!$I$4,$S1064-4,0))</f>
        <v/>
      </c>
      <c r="K1064" s="295"/>
      <c r="L1064" s="295"/>
      <c r="M1064" s="295"/>
      <c r="N1064" s="295"/>
      <c r="O1064" s="295"/>
      <c r="P1064" s="295"/>
      <c r="Q1064" s="296"/>
      <c r="R1064" s="227"/>
      <c r="S1064" s="228" t="e">
        <f>IF(C1064="",NA(),MATCH($B1064&amp;$C1064,'Smelter Reference List'!$J:$J,0))</f>
        <v>#N/A</v>
      </c>
      <c r="T1064" s="229"/>
      <c r="U1064" s="229">
        <f t="shared" ca="1" si="34"/>
        <v>0</v>
      </c>
      <c r="V1064" s="229"/>
      <c r="W1064" s="229"/>
      <c r="Y1064" s="223" t="str">
        <f t="shared" si="35"/>
        <v/>
      </c>
    </row>
    <row r="1065" spans="1:25" s="223" customFormat="1" ht="20.25">
      <c r="A1065" s="291"/>
      <c r="B1065" s="292" t="str">
        <f>IF(LEN(A1065)=0,"",INDEX('Smelter Reference List'!$A:$A,MATCH($A1065,'Smelter Reference List'!$E:$E,0)))</f>
        <v/>
      </c>
      <c r="C1065" s="298" t="str">
        <f>IF(LEN(A1065)=0,"",INDEX('Smelter Reference List'!$C:$C,MATCH($A1065,'Smelter Reference List'!$E:$E,0)))</f>
        <v/>
      </c>
      <c r="D1065" s="292" t="str">
        <f ca="1">IF(ISERROR($S1065),"",OFFSET('Smelter Reference List'!$C$4,$S1065-4,0)&amp;"")</f>
        <v/>
      </c>
      <c r="E1065" s="292" t="str">
        <f ca="1">IF(ISERROR($S1065),"",OFFSET('Smelter Reference List'!$D$4,$S1065-4,0)&amp;"")</f>
        <v/>
      </c>
      <c r="F1065" s="292" t="str">
        <f ca="1">IF(ISERROR($S1065),"",OFFSET('Smelter Reference List'!$E$4,$S1065-4,0))</f>
        <v/>
      </c>
      <c r="G1065" s="292" t="str">
        <f ca="1">IF(C1065=$U$4,"Enter smelter details", IF(ISERROR($S1065),"",OFFSET('Smelter Reference List'!$F$4,$S1065-4,0)))</f>
        <v/>
      </c>
      <c r="H1065" s="293" t="str">
        <f ca="1">IF(ISERROR($S1065),"",OFFSET('Smelter Reference List'!$G$4,$S1065-4,0))</f>
        <v/>
      </c>
      <c r="I1065" s="294" t="str">
        <f ca="1">IF(ISERROR($S1065),"",OFFSET('Smelter Reference List'!$H$4,$S1065-4,0))</f>
        <v/>
      </c>
      <c r="J1065" s="294" t="str">
        <f ca="1">IF(ISERROR($S1065),"",OFFSET('Smelter Reference List'!$I$4,$S1065-4,0))</f>
        <v/>
      </c>
      <c r="K1065" s="295"/>
      <c r="L1065" s="295"/>
      <c r="M1065" s="295"/>
      <c r="N1065" s="295"/>
      <c r="O1065" s="295"/>
      <c r="P1065" s="295"/>
      <c r="Q1065" s="296"/>
      <c r="R1065" s="227"/>
      <c r="S1065" s="228" t="e">
        <f>IF(C1065="",NA(),MATCH($B1065&amp;$C1065,'Smelter Reference List'!$J:$J,0))</f>
        <v>#N/A</v>
      </c>
      <c r="T1065" s="229"/>
      <c r="U1065" s="229">
        <f t="shared" ca="1" si="34"/>
        <v>0</v>
      </c>
      <c r="V1065" s="229"/>
      <c r="W1065" s="229"/>
      <c r="Y1065" s="223" t="str">
        <f t="shared" si="35"/>
        <v/>
      </c>
    </row>
    <row r="1066" spans="1:25" s="223" customFormat="1" ht="20.25">
      <c r="A1066" s="291"/>
      <c r="B1066" s="292" t="str">
        <f>IF(LEN(A1066)=0,"",INDEX('Smelter Reference List'!$A:$A,MATCH($A1066,'Smelter Reference List'!$E:$E,0)))</f>
        <v/>
      </c>
      <c r="C1066" s="298" t="str">
        <f>IF(LEN(A1066)=0,"",INDEX('Smelter Reference List'!$C:$C,MATCH($A1066,'Smelter Reference List'!$E:$E,0)))</f>
        <v/>
      </c>
      <c r="D1066" s="292" t="str">
        <f ca="1">IF(ISERROR($S1066),"",OFFSET('Smelter Reference List'!$C$4,$S1066-4,0)&amp;"")</f>
        <v/>
      </c>
      <c r="E1066" s="292" t="str">
        <f ca="1">IF(ISERROR($S1066),"",OFFSET('Smelter Reference List'!$D$4,$S1066-4,0)&amp;"")</f>
        <v/>
      </c>
      <c r="F1066" s="292" t="str">
        <f ca="1">IF(ISERROR($S1066),"",OFFSET('Smelter Reference List'!$E$4,$S1066-4,0))</f>
        <v/>
      </c>
      <c r="G1066" s="292" t="str">
        <f ca="1">IF(C1066=$U$4,"Enter smelter details", IF(ISERROR($S1066),"",OFFSET('Smelter Reference List'!$F$4,$S1066-4,0)))</f>
        <v/>
      </c>
      <c r="H1066" s="293" t="str">
        <f ca="1">IF(ISERROR($S1066),"",OFFSET('Smelter Reference List'!$G$4,$S1066-4,0))</f>
        <v/>
      </c>
      <c r="I1066" s="294" t="str">
        <f ca="1">IF(ISERROR($S1066),"",OFFSET('Smelter Reference List'!$H$4,$S1066-4,0))</f>
        <v/>
      </c>
      <c r="J1066" s="294" t="str">
        <f ca="1">IF(ISERROR($S1066),"",OFFSET('Smelter Reference List'!$I$4,$S1066-4,0))</f>
        <v/>
      </c>
      <c r="K1066" s="295"/>
      <c r="L1066" s="295"/>
      <c r="M1066" s="295"/>
      <c r="N1066" s="295"/>
      <c r="O1066" s="295"/>
      <c r="P1066" s="295"/>
      <c r="Q1066" s="296"/>
      <c r="R1066" s="227"/>
      <c r="S1066" s="228" t="e">
        <f>IF(C1066="",NA(),MATCH($B1066&amp;$C1066,'Smelter Reference List'!$J:$J,0))</f>
        <v>#N/A</v>
      </c>
      <c r="T1066" s="229"/>
      <c r="U1066" s="229">
        <f t="shared" ca="1" si="34"/>
        <v>0</v>
      </c>
      <c r="V1066" s="229"/>
      <c r="W1066" s="229"/>
      <c r="Y1066" s="223" t="str">
        <f t="shared" si="35"/>
        <v/>
      </c>
    </row>
    <row r="1067" spans="1:25" s="223" customFormat="1" ht="20.25">
      <c r="A1067" s="291"/>
      <c r="B1067" s="292" t="str">
        <f>IF(LEN(A1067)=0,"",INDEX('Smelter Reference List'!$A:$A,MATCH($A1067,'Smelter Reference List'!$E:$E,0)))</f>
        <v/>
      </c>
      <c r="C1067" s="298" t="str">
        <f>IF(LEN(A1067)=0,"",INDEX('Smelter Reference List'!$C:$C,MATCH($A1067,'Smelter Reference List'!$E:$E,0)))</f>
        <v/>
      </c>
      <c r="D1067" s="292" t="str">
        <f ca="1">IF(ISERROR($S1067),"",OFFSET('Smelter Reference List'!$C$4,$S1067-4,0)&amp;"")</f>
        <v/>
      </c>
      <c r="E1067" s="292" t="str">
        <f ca="1">IF(ISERROR($S1067),"",OFFSET('Smelter Reference List'!$D$4,$S1067-4,0)&amp;"")</f>
        <v/>
      </c>
      <c r="F1067" s="292" t="str">
        <f ca="1">IF(ISERROR($S1067),"",OFFSET('Smelter Reference List'!$E$4,$S1067-4,0))</f>
        <v/>
      </c>
      <c r="G1067" s="292" t="str">
        <f ca="1">IF(C1067=$U$4,"Enter smelter details", IF(ISERROR($S1067),"",OFFSET('Smelter Reference List'!$F$4,$S1067-4,0)))</f>
        <v/>
      </c>
      <c r="H1067" s="293" t="str">
        <f ca="1">IF(ISERROR($S1067),"",OFFSET('Smelter Reference List'!$G$4,$S1067-4,0))</f>
        <v/>
      </c>
      <c r="I1067" s="294" t="str">
        <f ca="1">IF(ISERROR($S1067),"",OFFSET('Smelter Reference List'!$H$4,$S1067-4,0))</f>
        <v/>
      </c>
      <c r="J1067" s="294" t="str">
        <f ca="1">IF(ISERROR($S1067),"",OFFSET('Smelter Reference List'!$I$4,$S1067-4,0))</f>
        <v/>
      </c>
      <c r="K1067" s="295"/>
      <c r="L1067" s="295"/>
      <c r="M1067" s="295"/>
      <c r="N1067" s="295"/>
      <c r="O1067" s="295"/>
      <c r="P1067" s="295"/>
      <c r="Q1067" s="296"/>
      <c r="R1067" s="227"/>
      <c r="S1067" s="228" t="e">
        <f>IF(C1067="",NA(),MATCH($B1067&amp;$C1067,'Smelter Reference List'!$J:$J,0))</f>
        <v>#N/A</v>
      </c>
      <c r="T1067" s="229"/>
      <c r="U1067" s="229">
        <f t="shared" ca="1" si="34"/>
        <v>0</v>
      </c>
      <c r="V1067" s="229"/>
      <c r="W1067" s="229"/>
      <c r="Y1067" s="223" t="str">
        <f t="shared" si="35"/>
        <v/>
      </c>
    </row>
    <row r="1068" spans="1:25" s="223" customFormat="1" ht="20.25">
      <c r="A1068" s="291"/>
      <c r="B1068" s="292" t="str">
        <f>IF(LEN(A1068)=0,"",INDEX('Smelter Reference List'!$A:$A,MATCH($A1068,'Smelter Reference List'!$E:$E,0)))</f>
        <v/>
      </c>
      <c r="C1068" s="298" t="str">
        <f>IF(LEN(A1068)=0,"",INDEX('Smelter Reference List'!$C:$C,MATCH($A1068,'Smelter Reference List'!$E:$E,0)))</f>
        <v/>
      </c>
      <c r="D1068" s="292" t="str">
        <f ca="1">IF(ISERROR($S1068),"",OFFSET('Smelter Reference List'!$C$4,$S1068-4,0)&amp;"")</f>
        <v/>
      </c>
      <c r="E1068" s="292" t="str">
        <f ca="1">IF(ISERROR($S1068),"",OFFSET('Smelter Reference List'!$D$4,$S1068-4,0)&amp;"")</f>
        <v/>
      </c>
      <c r="F1068" s="292" t="str">
        <f ca="1">IF(ISERROR($S1068),"",OFFSET('Smelter Reference List'!$E$4,$S1068-4,0))</f>
        <v/>
      </c>
      <c r="G1068" s="292" t="str">
        <f ca="1">IF(C1068=$U$4,"Enter smelter details", IF(ISERROR($S1068),"",OFFSET('Smelter Reference List'!$F$4,$S1068-4,0)))</f>
        <v/>
      </c>
      <c r="H1068" s="293" t="str">
        <f ca="1">IF(ISERROR($S1068),"",OFFSET('Smelter Reference List'!$G$4,$S1068-4,0))</f>
        <v/>
      </c>
      <c r="I1068" s="294" t="str">
        <f ca="1">IF(ISERROR($S1068),"",OFFSET('Smelter Reference List'!$H$4,$S1068-4,0))</f>
        <v/>
      </c>
      <c r="J1068" s="294" t="str">
        <f ca="1">IF(ISERROR($S1068),"",OFFSET('Smelter Reference List'!$I$4,$S1068-4,0))</f>
        <v/>
      </c>
      <c r="K1068" s="295"/>
      <c r="L1068" s="295"/>
      <c r="M1068" s="295"/>
      <c r="N1068" s="295"/>
      <c r="O1068" s="295"/>
      <c r="P1068" s="295"/>
      <c r="Q1068" s="296"/>
      <c r="R1068" s="227"/>
      <c r="S1068" s="228" t="e">
        <f>IF(C1068="",NA(),MATCH($B1068&amp;$C1068,'Smelter Reference List'!$J:$J,0))</f>
        <v>#N/A</v>
      </c>
      <c r="T1068" s="229"/>
      <c r="U1068" s="229">
        <f t="shared" ca="1" si="34"/>
        <v>0</v>
      </c>
      <c r="V1068" s="229"/>
      <c r="W1068" s="229"/>
      <c r="Y1068" s="223" t="str">
        <f t="shared" si="35"/>
        <v/>
      </c>
    </row>
    <row r="1069" spans="1:25" s="223" customFormat="1" ht="20.25">
      <c r="A1069" s="291"/>
      <c r="B1069" s="292" t="str">
        <f>IF(LEN(A1069)=0,"",INDEX('Smelter Reference List'!$A:$A,MATCH($A1069,'Smelter Reference List'!$E:$E,0)))</f>
        <v/>
      </c>
      <c r="C1069" s="298" t="str">
        <f>IF(LEN(A1069)=0,"",INDEX('Smelter Reference List'!$C:$C,MATCH($A1069,'Smelter Reference List'!$E:$E,0)))</f>
        <v/>
      </c>
      <c r="D1069" s="292" t="str">
        <f ca="1">IF(ISERROR($S1069),"",OFFSET('Smelter Reference List'!$C$4,$S1069-4,0)&amp;"")</f>
        <v/>
      </c>
      <c r="E1069" s="292" t="str">
        <f ca="1">IF(ISERROR($S1069),"",OFFSET('Smelter Reference List'!$D$4,$S1069-4,0)&amp;"")</f>
        <v/>
      </c>
      <c r="F1069" s="292" t="str">
        <f ca="1">IF(ISERROR($S1069),"",OFFSET('Smelter Reference List'!$E$4,$S1069-4,0))</f>
        <v/>
      </c>
      <c r="G1069" s="292" t="str">
        <f ca="1">IF(C1069=$U$4,"Enter smelter details", IF(ISERROR($S1069),"",OFFSET('Smelter Reference List'!$F$4,$S1069-4,0)))</f>
        <v/>
      </c>
      <c r="H1069" s="293" t="str">
        <f ca="1">IF(ISERROR($S1069),"",OFFSET('Smelter Reference List'!$G$4,$S1069-4,0))</f>
        <v/>
      </c>
      <c r="I1069" s="294" t="str">
        <f ca="1">IF(ISERROR($S1069),"",OFFSET('Smelter Reference List'!$H$4,$S1069-4,0))</f>
        <v/>
      </c>
      <c r="J1069" s="294" t="str">
        <f ca="1">IF(ISERROR($S1069),"",OFFSET('Smelter Reference List'!$I$4,$S1069-4,0))</f>
        <v/>
      </c>
      <c r="K1069" s="295"/>
      <c r="L1069" s="295"/>
      <c r="M1069" s="295"/>
      <c r="N1069" s="295"/>
      <c r="O1069" s="295"/>
      <c r="P1069" s="295"/>
      <c r="Q1069" s="296"/>
      <c r="R1069" s="227"/>
      <c r="S1069" s="228" t="e">
        <f>IF(C1069="",NA(),MATCH($B1069&amp;$C1069,'Smelter Reference List'!$J:$J,0))</f>
        <v>#N/A</v>
      </c>
      <c r="T1069" s="229"/>
      <c r="U1069" s="229">
        <f t="shared" ca="1" si="34"/>
        <v>0</v>
      </c>
      <c r="V1069" s="229"/>
      <c r="W1069" s="229"/>
      <c r="Y1069" s="223" t="str">
        <f t="shared" si="35"/>
        <v/>
      </c>
    </row>
    <row r="1070" spans="1:25" s="223" customFormat="1" ht="20.25">
      <c r="A1070" s="291"/>
      <c r="B1070" s="292" t="str">
        <f>IF(LEN(A1070)=0,"",INDEX('Smelter Reference List'!$A:$A,MATCH($A1070,'Smelter Reference List'!$E:$E,0)))</f>
        <v/>
      </c>
      <c r="C1070" s="298" t="str">
        <f>IF(LEN(A1070)=0,"",INDEX('Smelter Reference List'!$C:$C,MATCH($A1070,'Smelter Reference List'!$E:$E,0)))</f>
        <v/>
      </c>
      <c r="D1070" s="292" t="str">
        <f ca="1">IF(ISERROR($S1070),"",OFFSET('Smelter Reference List'!$C$4,$S1070-4,0)&amp;"")</f>
        <v/>
      </c>
      <c r="E1070" s="292" t="str">
        <f ca="1">IF(ISERROR($S1070),"",OFFSET('Smelter Reference List'!$D$4,$S1070-4,0)&amp;"")</f>
        <v/>
      </c>
      <c r="F1070" s="292" t="str">
        <f ca="1">IF(ISERROR($S1070),"",OFFSET('Smelter Reference List'!$E$4,$S1070-4,0))</f>
        <v/>
      </c>
      <c r="G1070" s="292" t="str">
        <f ca="1">IF(C1070=$U$4,"Enter smelter details", IF(ISERROR($S1070),"",OFFSET('Smelter Reference List'!$F$4,$S1070-4,0)))</f>
        <v/>
      </c>
      <c r="H1070" s="293" t="str">
        <f ca="1">IF(ISERROR($S1070),"",OFFSET('Smelter Reference List'!$G$4,$S1070-4,0))</f>
        <v/>
      </c>
      <c r="I1070" s="294" t="str">
        <f ca="1">IF(ISERROR($S1070),"",OFFSET('Smelter Reference List'!$H$4,$S1070-4,0))</f>
        <v/>
      </c>
      <c r="J1070" s="294" t="str">
        <f ca="1">IF(ISERROR($S1070),"",OFFSET('Smelter Reference List'!$I$4,$S1070-4,0))</f>
        <v/>
      </c>
      <c r="K1070" s="295"/>
      <c r="L1070" s="295"/>
      <c r="M1070" s="295"/>
      <c r="N1070" s="295"/>
      <c r="O1070" s="295"/>
      <c r="P1070" s="295"/>
      <c r="Q1070" s="296"/>
      <c r="R1070" s="227"/>
      <c r="S1070" s="228" t="e">
        <f>IF(C1070="",NA(),MATCH($B1070&amp;$C1070,'Smelter Reference List'!$J:$J,0))</f>
        <v>#N/A</v>
      </c>
      <c r="T1070" s="229"/>
      <c r="U1070" s="229">
        <f t="shared" ca="1" si="34"/>
        <v>0</v>
      </c>
      <c r="V1070" s="229"/>
      <c r="W1070" s="229"/>
      <c r="Y1070" s="223" t="str">
        <f t="shared" si="35"/>
        <v/>
      </c>
    </row>
    <row r="1071" spans="1:25" s="223" customFormat="1" ht="20.25">
      <c r="A1071" s="291"/>
      <c r="B1071" s="292" t="str">
        <f>IF(LEN(A1071)=0,"",INDEX('Smelter Reference List'!$A:$A,MATCH($A1071,'Smelter Reference List'!$E:$E,0)))</f>
        <v/>
      </c>
      <c r="C1071" s="298" t="str">
        <f>IF(LEN(A1071)=0,"",INDEX('Smelter Reference List'!$C:$C,MATCH($A1071,'Smelter Reference List'!$E:$E,0)))</f>
        <v/>
      </c>
      <c r="D1071" s="292" t="str">
        <f ca="1">IF(ISERROR($S1071),"",OFFSET('Smelter Reference List'!$C$4,$S1071-4,0)&amp;"")</f>
        <v/>
      </c>
      <c r="E1071" s="292" t="str">
        <f ca="1">IF(ISERROR($S1071),"",OFFSET('Smelter Reference List'!$D$4,$S1071-4,0)&amp;"")</f>
        <v/>
      </c>
      <c r="F1071" s="292" t="str">
        <f ca="1">IF(ISERROR($S1071),"",OFFSET('Smelter Reference List'!$E$4,$S1071-4,0))</f>
        <v/>
      </c>
      <c r="G1071" s="292" t="str">
        <f ca="1">IF(C1071=$U$4,"Enter smelter details", IF(ISERROR($S1071),"",OFFSET('Smelter Reference List'!$F$4,$S1071-4,0)))</f>
        <v/>
      </c>
      <c r="H1071" s="293" t="str">
        <f ca="1">IF(ISERROR($S1071),"",OFFSET('Smelter Reference List'!$G$4,$S1071-4,0))</f>
        <v/>
      </c>
      <c r="I1071" s="294" t="str">
        <f ca="1">IF(ISERROR($S1071),"",OFFSET('Smelter Reference List'!$H$4,$S1071-4,0))</f>
        <v/>
      </c>
      <c r="J1071" s="294" t="str">
        <f ca="1">IF(ISERROR($S1071),"",OFFSET('Smelter Reference List'!$I$4,$S1071-4,0))</f>
        <v/>
      </c>
      <c r="K1071" s="295"/>
      <c r="L1071" s="295"/>
      <c r="M1071" s="295"/>
      <c r="N1071" s="295"/>
      <c r="O1071" s="295"/>
      <c r="P1071" s="295"/>
      <c r="Q1071" s="296"/>
      <c r="R1071" s="227"/>
      <c r="S1071" s="228" t="e">
        <f>IF(C1071="",NA(),MATCH($B1071&amp;$C1071,'Smelter Reference List'!$J:$J,0))</f>
        <v>#N/A</v>
      </c>
      <c r="T1071" s="229"/>
      <c r="U1071" s="229">
        <f t="shared" ca="1" si="34"/>
        <v>0</v>
      </c>
      <c r="V1071" s="229"/>
      <c r="W1071" s="229"/>
      <c r="Y1071" s="223" t="str">
        <f t="shared" si="35"/>
        <v/>
      </c>
    </row>
    <row r="1072" spans="1:25" s="223" customFormat="1" ht="20.25">
      <c r="A1072" s="291"/>
      <c r="B1072" s="292" t="str">
        <f>IF(LEN(A1072)=0,"",INDEX('Smelter Reference List'!$A:$A,MATCH($A1072,'Smelter Reference List'!$E:$E,0)))</f>
        <v/>
      </c>
      <c r="C1072" s="298" t="str">
        <f>IF(LEN(A1072)=0,"",INDEX('Smelter Reference List'!$C:$C,MATCH($A1072,'Smelter Reference List'!$E:$E,0)))</f>
        <v/>
      </c>
      <c r="D1072" s="292" t="str">
        <f ca="1">IF(ISERROR($S1072),"",OFFSET('Smelter Reference List'!$C$4,$S1072-4,0)&amp;"")</f>
        <v/>
      </c>
      <c r="E1072" s="292" t="str">
        <f ca="1">IF(ISERROR($S1072),"",OFFSET('Smelter Reference List'!$D$4,$S1072-4,0)&amp;"")</f>
        <v/>
      </c>
      <c r="F1072" s="292" t="str">
        <f ca="1">IF(ISERROR($S1072),"",OFFSET('Smelter Reference List'!$E$4,$S1072-4,0))</f>
        <v/>
      </c>
      <c r="G1072" s="292" t="str">
        <f ca="1">IF(C1072=$U$4,"Enter smelter details", IF(ISERROR($S1072),"",OFFSET('Smelter Reference List'!$F$4,$S1072-4,0)))</f>
        <v/>
      </c>
      <c r="H1072" s="293" t="str">
        <f ca="1">IF(ISERROR($S1072),"",OFFSET('Smelter Reference List'!$G$4,$S1072-4,0))</f>
        <v/>
      </c>
      <c r="I1072" s="294" t="str">
        <f ca="1">IF(ISERROR($S1072),"",OFFSET('Smelter Reference List'!$H$4,$S1072-4,0))</f>
        <v/>
      </c>
      <c r="J1072" s="294" t="str">
        <f ca="1">IF(ISERROR($S1072),"",OFFSET('Smelter Reference List'!$I$4,$S1072-4,0))</f>
        <v/>
      </c>
      <c r="K1072" s="295"/>
      <c r="L1072" s="295"/>
      <c r="M1072" s="295"/>
      <c r="N1072" s="295"/>
      <c r="O1072" s="295"/>
      <c r="P1072" s="295"/>
      <c r="Q1072" s="296"/>
      <c r="R1072" s="227"/>
      <c r="S1072" s="228" t="e">
        <f>IF(C1072="",NA(),MATCH($B1072&amp;$C1072,'Smelter Reference List'!$J:$J,0))</f>
        <v>#N/A</v>
      </c>
      <c r="T1072" s="229"/>
      <c r="U1072" s="229">
        <f t="shared" ca="1" si="34"/>
        <v>0</v>
      </c>
      <c r="V1072" s="229"/>
      <c r="W1072" s="229"/>
      <c r="Y1072" s="223" t="str">
        <f t="shared" si="35"/>
        <v/>
      </c>
    </row>
    <row r="1073" spans="1:25" s="223" customFormat="1" ht="20.25">
      <c r="A1073" s="291"/>
      <c r="B1073" s="292" t="str">
        <f>IF(LEN(A1073)=0,"",INDEX('Smelter Reference List'!$A:$A,MATCH($A1073,'Smelter Reference List'!$E:$E,0)))</f>
        <v/>
      </c>
      <c r="C1073" s="298" t="str">
        <f>IF(LEN(A1073)=0,"",INDEX('Smelter Reference List'!$C:$C,MATCH($A1073,'Smelter Reference List'!$E:$E,0)))</f>
        <v/>
      </c>
      <c r="D1073" s="292" t="str">
        <f ca="1">IF(ISERROR($S1073),"",OFFSET('Smelter Reference List'!$C$4,$S1073-4,0)&amp;"")</f>
        <v/>
      </c>
      <c r="E1073" s="292" t="str">
        <f ca="1">IF(ISERROR($S1073),"",OFFSET('Smelter Reference List'!$D$4,$S1073-4,0)&amp;"")</f>
        <v/>
      </c>
      <c r="F1073" s="292" t="str">
        <f ca="1">IF(ISERROR($S1073),"",OFFSET('Smelter Reference List'!$E$4,$S1073-4,0))</f>
        <v/>
      </c>
      <c r="G1073" s="292" t="str">
        <f ca="1">IF(C1073=$U$4,"Enter smelter details", IF(ISERROR($S1073),"",OFFSET('Smelter Reference List'!$F$4,$S1073-4,0)))</f>
        <v/>
      </c>
      <c r="H1073" s="293" t="str">
        <f ca="1">IF(ISERROR($S1073),"",OFFSET('Smelter Reference List'!$G$4,$S1073-4,0))</f>
        <v/>
      </c>
      <c r="I1073" s="294" t="str">
        <f ca="1">IF(ISERROR($S1073),"",OFFSET('Smelter Reference List'!$H$4,$S1073-4,0))</f>
        <v/>
      </c>
      <c r="J1073" s="294" t="str">
        <f ca="1">IF(ISERROR($S1073),"",OFFSET('Smelter Reference List'!$I$4,$S1073-4,0))</f>
        <v/>
      </c>
      <c r="K1073" s="295"/>
      <c r="L1073" s="295"/>
      <c r="M1073" s="295"/>
      <c r="N1073" s="295"/>
      <c r="O1073" s="295"/>
      <c r="P1073" s="295"/>
      <c r="Q1073" s="296"/>
      <c r="R1073" s="227"/>
      <c r="S1073" s="228" t="e">
        <f>IF(C1073="",NA(),MATCH($B1073&amp;$C1073,'Smelter Reference List'!$J:$J,0))</f>
        <v>#N/A</v>
      </c>
      <c r="T1073" s="229"/>
      <c r="U1073" s="229">
        <f t="shared" ca="1" si="34"/>
        <v>0</v>
      </c>
      <c r="V1073" s="229"/>
      <c r="W1073" s="229"/>
      <c r="Y1073" s="223" t="str">
        <f t="shared" si="35"/>
        <v/>
      </c>
    </row>
    <row r="1074" spans="1:25" s="223" customFormat="1" ht="20.25">
      <c r="A1074" s="291"/>
      <c r="B1074" s="292" t="str">
        <f>IF(LEN(A1074)=0,"",INDEX('Smelter Reference List'!$A:$A,MATCH($A1074,'Smelter Reference List'!$E:$E,0)))</f>
        <v/>
      </c>
      <c r="C1074" s="298" t="str">
        <f>IF(LEN(A1074)=0,"",INDEX('Smelter Reference List'!$C:$C,MATCH($A1074,'Smelter Reference List'!$E:$E,0)))</f>
        <v/>
      </c>
      <c r="D1074" s="292" t="str">
        <f ca="1">IF(ISERROR($S1074),"",OFFSET('Smelter Reference List'!$C$4,$S1074-4,0)&amp;"")</f>
        <v/>
      </c>
      <c r="E1074" s="292" t="str">
        <f ca="1">IF(ISERROR($S1074),"",OFFSET('Smelter Reference List'!$D$4,$S1074-4,0)&amp;"")</f>
        <v/>
      </c>
      <c r="F1074" s="292" t="str">
        <f ca="1">IF(ISERROR($S1074),"",OFFSET('Smelter Reference List'!$E$4,$S1074-4,0))</f>
        <v/>
      </c>
      <c r="G1074" s="292" t="str">
        <f ca="1">IF(C1074=$U$4,"Enter smelter details", IF(ISERROR($S1074),"",OFFSET('Smelter Reference List'!$F$4,$S1074-4,0)))</f>
        <v/>
      </c>
      <c r="H1074" s="293" t="str">
        <f ca="1">IF(ISERROR($S1074),"",OFFSET('Smelter Reference List'!$G$4,$S1074-4,0))</f>
        <v/>
      </c>
      <c r="I1074" s="294" t="str">
        <f ca="1">IF(ISERROR($S1074),"",OFFSET('Smelter Reference List'!$H$4,$S1074-4,0))</f>
        <v/>
      </c>
      <c r="J1074" s="294" t="str">
        <f ca="1">IF(ISERROR($S1074),"",OFFSET('Smelter Reference List'!$I$4,$S1074-4,0))</f>
        <v/>
      </c>
      <c r="K1074" s="295"/>
      <c r="L1074" s="295"/>
      <c r="M1074" s="295"/>
      <c r="N1074" s="295"/>
      <c r="O1074" s="295"/>
      <c r="P1074" s="295"/>
      <c r="Q1074" s="296"/>
      <c r="R1074" s="227"/>
      <c r="S1074" s="228" t="e">
        <f>IF(C1074="",NA(),MATCH($B1074&amp;$C1074,'Smelter Reference List'!$J:$J,0))</f>
        <v>#N/A</v>
      </c>
      <c r="T1074" s="229"/>
      <c r="U1074" s="229">
        <f t="shared" ca="1" si="34"/>
        <v>0</v>
      </c>
      <c r="V1074" s="229"/>
      <c r="W1074" s="229"/>
      <c r="Y1074" s="223" t="str">
        <f t="shared" si="35"/>
        <v/>
      </c>
    </row>
    <row r="1075" spans="1:25" s="223" customFormat="1" ht="20.25">
      <c r="A1075" s="291"/>
      <c r="B1075" s="292" t="str">
        <f>IF(LEN(A1075)=0,"",INDEX('Smelter Reference List'!$A:$A,MATCH($A1075,'Smelter Reference List'!$E:$E,0)))</f>
        <v/>
      </c>
      <c r="C1075" s="298" t="str">
        <f>IF(LEN(A1075)=0,"",INDEX('Smelter Reference List'!$C:$C,MATCH($A1075,'Smelter Reference List'!$E:$E,0)))</f>
        <v/>
      </c>
      <c r="D1075" s="292" t="str">
        <f ca="1">IF(ISERROR($S1075),"",OFFSET('Smelter Reference List'!$C$4,$S1075-4,0)&amp;"")</f>
        <v/>
      </c>
      <c r="E1075" s="292" t="str">
        <f ca="1">IF(ISERROR($S1075),"",OFFSET('Smelter Reference List'!$D$4,$S1075-4,0)&amp;"")</f>
        <v/>
      </c>
      <c r="F1075" s="292" t="str">
        <f ca="1">IF(ISERROR($S1075),"",OFFSET('Smelter Reference List'!$E$4,$S1075-4,0))</f>
        <v/>
      </c>
      <c r="G1075" s="292" t="str">
        <f ca="1">IF(C1075=$U$4,"Enter smelter details", IF(ISERROR($S1075),"",OFFSET('Smelter Reference List'!$F$4,$S1075-4,0)))</f>
        <v/>
      </c>
      <c r="H1075" s="293" t="str">
        <f ca="1">IF(ISERROR($S1075),"",OFFSET('Smelter Reference List'!$G$4,$S1075-4,0))</f>
        <v/>
      </c>
      <c r="I1075" s="294" t="str">
        <f ca="1">IF(ISERROR($S1075),"",OFFSET('Smelter Reference List'!$H$4,$S1075-4,0))</f>
        <v/>
      </c>
      <c r="J1075" s="294" t="str">
        <f ca="1">IF(ISERROR($S1075),"",OFFSET('Smelter Reference List'!$I$4,$S1075-4,0))</f>
        <v/>
      </c>
      <c r="K1075" s="295"/>
      <c r="L1075" s="295"/>
      <c r="M1075" s="295"/>
      <c r="N1075" s="295"/>
      <c r="O1075" s="295"/>
      <c r="P1075" s="295"/>
      <c r="Q1075" s="296"/>
      <c r="R1075" s="227"/>
      <c r="S1075" s="228" t="e">
        <f>IF(C1075="",NA(),MATCH($B1075&amp;$C1075,'Smelter Reference List'!$J:$J,0))</f>
        <v>#N/A</v>
      </c>
      <c r="T1075" s="229"/>
      <c r="U1075" s="229">
        <f t="shared" ca="1" si="34"/>
        <v>0</v>
      </c>
      <c r="V1075" s="229"/>
      <c r="W1075" s="229"/>
      <c r="Y1075" s="223" t="str">
        <f t="shared" si="35"/>
        <v/>
      </c>
    </row>
    <row r="1076" spans="1:25" s="223" customFormat="1" ht="20.25">
      <c r="A1076" s="291"/>
      <c r="B1076" s="292" t="str">
        <f>IF(LEN(A1076)=0,"",INDEX('Smelter Reference List'!$A:$A,MATCH($A1076,'Smelter Reference List'!$E:$E,0)))</f>
        <v/>
      </c>
      <c r="C1076" s="298" t="str">
        <f>IF(LEN(A1076)=0,"",INDEX('Smelter Reference List'!$C:$C,MATCH($A1076,'Smelter Reference List'!$E:$E,0)))</f>
        <v/>
      </c>
      <c r="D1076" s="292" t="str">
        <f ca="1">IF(ISERROR($S1076),"",OFFSET('Smelter Reference List'!$C$4,$S1076-4,0)&amp;"")</f>
        <v/>
      </c>
      <c r="E1076" s="292" t="str">
        <f ca="1">IF(ISERROR($S1076),"",OFFSET('Smelter Reference List'!$D$4,$S1076-4,0)&amp;"")</f>
        <v/>
      </c>
      <c r="F1076" s="292" t="str">
        <f ca="1">IF(ISERROR($S1076),"",OFFSET('Smelter Reference List'!$E$4,$S1076-4,0))</f>
        <v/>
      </c>
      <c r="G1076" s="292" t="str">
        <f ca="1">IF(C1076=$U$4,"Enter smelter details", IF(ISERROR($S1076),"",OFFSET('Smelter Reference List'!$F$4,$S1076-4,0)))</f>
        <v/>
      </c>
      <c r="H1076" s="293" t="str">
        <f ca="1">IF(ISERROR($S1076),"",OFFSET('Smelter Reference List'!$G$4,$S1076-4,0))</f>
        <v/>
      </c>
      <c r="I1076" s="294" t="str">
        <f ca="1">IF(ISERROR($S1076),"",OFFSET('Smelter Reference List'!$H$4,$S1076-4,0))</f>
        <v/>
      </c>
      <c r="J1076" s="294" t="str">
        <f ca="1">IF(ISERROR($S1076),"",OFFSET('Smelter Reference List'!$I$4,$S1076-4,0))</f>
        <v/>
      </c>
      <c r="K1076" s="295"/>
      <c r="L1076" s="295"/>
      <c r="M1076" s="295"/>
      <c r="N1076" s="295"/>
      <c r="O1076" s="295"/>
      <c r="P1076" s="295"/>
      <c r="Q1076" s="296"/>
      <c r="R1076" s="227"/>
      <c r="S1076" s="228" t="e">
        <f>IF(C1076="",NA(),MATCH($B1076&amp;$C1076,'Smelter Reference List'!$J:$J,0))</f>
        <v>#N/A</v>
      </c>
      <c r="T1076" s="229"/>
      <c r="U1076" s="229">
        <f t="shared" ca="1" si="34"/>
        <v>0</v>
      </c>
      <c r="V1076" s="229"/>
      <c r="W1076" s="229"/>
      <c r="Y1076" s="223" t="str">
        <f t="shared" si="35"/>
        <v/>
      </c>
    </row>
    <row r="1077" spans="1:25" s="223" customFormat="1" ht="20.25">
      <c r="A1077" s="291"/>
      <c r="B1077" s="292" t="str">
        <f>IF(LEN(A1077)=0,"",INDEX('Smelter Reference List'!$A:$A,MATCH($A1077,'Smelter Reference List'!$E:$E,0)))</f>
        <v/>
      </c>
      <c r="C1077" s="298" t="str">
        <f>IF(LEN(A1077)=0,"",INDEX('Smelter Reference List'!$C:$C,MATCH($A1077,'Smelter Reference List'!$E:$E,0)))</f>
        <v/>
      </c>
      <c r="D1077" s="292" t="str">
        <f ca="1">IF(ISERROR($S1077),"",OFFSET('Smelter Reference List'!$C$4,$S1077-4,0)&amp;"")</f>
        <v/>
      </c>
      <c r="E1077" s="292" t="str">
        <f ca="1">IF(ISERROR($S1077),"",OFFSET('Smelter Reference List'!$D$4,$S1077-4,0)&amp;"")</f>
        <v/>
      </c>
      <c r="F1077" s="292" t="str">
        <f ca="1">IF(ISERROR($S1077),"",OFFSET('Smelter Reference List'!$E$4,$S1077-4,0))</f>
        <v/>
      </c>
      <c r="G1077" s="292" t="str">
        <f ca="1">IF(C1077=$U$4,"Enter smelter details", IF(ISERROR($S1077),"",OFFSET('Smelter Reference List'!$F$4,$S1077-4,0)))</f>
        <v/>
      </c>
      <c r="H1077" s="293" t="str">
        <f ca="1">IF(ISERROR($S1077),"",OFFSET('Smelter Reference List'!$G$4,$S1077-4,0))</f>
        <v/>
      </c>
      <c r="I1077" s="294" t="str">
        <f ca="1">IF(ISERROR($S1077),"",OFFSET('Smelter Reference List'!$H$4,$S1077-4,0))</f>
        <v/>
      </c>
      <c r="J1077" s="294" t="str">
        <f ca="1">IF(ISERROR($S1077),"",OFFSET('Smelter Reference List'!$I$4,$S1077-4,0))</f>
        <v/>
      </c>
      <c r="K1077" s="295"/>
      <c r="L1077" s="295"/>
      <c r="M1077" s="295"/>
      <c r="N1077" s="295"/>
      <c r="O1077" s="295"/>
      <c r="P1077" s="295"/>
      <c r="Q1077" s="296"/>
      <c r="R1077" s="227"/>
      <c r="S1077" s="228" t="e">
        <f>IF(C1077="",NA(),MATCH($B1077&amp;$C1077,'Smelter Reference List'!$J:$J,0))</f>
        <v>#N/A</v>
      </c>
      <c r="T1077" s="229"/>
      <c r="U1077" s="229">
        <f t="shared" ca="1" si="34"/>
        <v>0</v>
      </c>
      <c r="V1077" s="229"/>
      <c r="W1077" s="229"/>
      <c r="Y1077" s="223" t="str">
        <f t="shared" si="35"/>
        <v/>
      </c>
    </row>
    <row r="1078" spans="1:25" s="223" customFormat="1" ht="20.25">
      <c r="A1078" s="291"/>
      <c r="B1078" s="292" t="str">
        <f>IF(LEN(A1078)=0,"",INDEX('Smelter Reference List'!$A:$A,MATCH($A1078,'Smelter Reference List'!$E:$E,0)))</f>
        <v/>
      </c>
      <c r="C1078" s="298" t="str">
        <f>IF(LEN(A1078)=0,"",INDEX('Smelter Reference List'!$C:$C,MATCH($A1078,'Smelter Reference List'!$E:$E,0)))</f>
        <v/>
      </c>
      <c r="D1078" s="292" t="str">
        <f ca="1">IF(ISERROR($S1078),"",OFFSET('Smelter Reference List'!$C$4,$S1078-4,0)&amp;"")</f>
        <v/>
      </c>
      <c r="E1078" s="292" t="str">
        <f ca="1">IF(ISERROR($S1078),"",OFFSET('Smelter Reference List'!$D$4,$S1078-4,0)&amp;"")</f>
        <v/>
      </c>
      <c r="F1078" s="292" t="str">
        <f ca="1">IF(ISERROR($S1078),"",OFFSET('Smelter Reference List'!$E$4,$S1078-4,0))</f>
        <v/>
      </c>
      <c r="G1078" s="292" t="str">
        <f ca="1">IF(C1078=$U$4,"Enter smelter details", IF(ISERROR($S1078),"",OFFSET('Smelter Reference List'!$F$4,$S1078-4,0)))</f>
        <v/>
      </c>
      <c r="H1078" s="293" t="str">
        <f ca="1">IF(ISERROR($S1078),"",OFFSET('Smelter Reference List'!$G$4,$S1078-4,0))</f>
        <v/>
      </c>
      <c r="I1078" s="294" t="str">
        <f ca="1">IF(ISERROR($S1078),"",OFFSET('Smelter Reference List'!$H$4,$S1078-4,0))</f>
        <v/>
      </c>
      <c r="J1078" s="294" t="str">
        <f ca="1">IF(ISERROR($S1078),"",OFFSET('Smelter Reference List'!$I$4,$S1078-4,0))</f>
        <v/>
      </c>
      <c r="K1078" s="295"/>
      <c r="L1078" s="295"/>
      <c r="M1078" s="295"/>
      <c r="N1078" s="295"/>
      <c r="O1078" s="295"/>
      <c r="P1078" s="295"/>
      <c r="Q1078" s="296"/>
      <c r="R1078" s="227"/>
      <c r="S1078" s="228" t="e">
        <f>IF(C1078="",NA(),MATCH($B1078&amp;$C1078,'Smelter Reference List'!$J:$J,0))</f>
        <v>#N/A</v>
      </c>
      <c r="T1078" s="229"/>
      <c r="U1078" s="229">
        <f t="shared" ca="1" si="34"/>
        <v>0</v>
      </c>
      <c r="V1078" s="229"/>
      <c r="W1078" s="229"/>
      <c r="Y1078" s="223" t="str">
        <f t="shared" si="35"/>
        <v/>
      </c>
    </row>
    <row r="1079" spans="1:25" s="223" customFormat="1" ht="20.25">
      <c r="A1079" s="291"/>
      <c r="B1079" s="292" t="str">
        <f>IF(LEN(A1079)=0,"",INDEX('Smelter Reference List'!$A:$A,MATCH($A1079,'Smelter Reference List'!$E:$E,0)))</f>
        <v/>
      </c>
      <c r="C1079" s="298" t="str">
        <f>IF(LEN(A1079)=0,"",INDEX('Smelter Reference List'!$C:$C,MATCH($A1079,'Smelter Reference List'!$E:$E,0)))</f>
        <v/>
      </c>
      <c r="D1079" s="292" t="str">
        <f ca="1">IF(ISERROR($S1079),"",OFFSET('Smelter Reference List'!$C$4,$S1079-4,0)&amp;"")</f>
        <v/>
      </c>
      <c r="E1079" s="292" t="str">
        <f ca="1">IF(ISERROR($S1079),"",OFFSET('Smelter Reference List'!$D$4,$S1079-4,0)&amp;"")</f>
        <v/>
      </c>
      <c r="F1079" s="292" t="str">
        <f ca="1">IF(ISERROR($S1079),"",OFFSET('Smelter Reference List'!$E$4,$S1079-4,0))</f>
        <v/>
      </c>
      <c r="G1079" s="292" t="str">
        <f ca="1">IF(C1079=$U$4,"Enter smelter details", IF(ISERROR($S1079),"",OFFSET('Smelter Reference List'!$F$4,$S1079-4,0)))</f>
        <v/>
      </c>
      <c r="H1079" s="293" t="str">
        <f ca="1">IF(ISERROR($S1079),"",OFFSET('Smelter Reference List'!$G$4,$S1079-4,0))</f>
        <v/>
      </c>
      <c r="I1079" s="294" t="str">
        <f ca="1">IF(ISERROR($S1079),"",OFFSET('Smelter Reference List'!$H$4,$S1079-4,0))</f>
        <v/>
      </c>
      <c r="J1079" s="294" t="str">
        <f ca="1">IF(ISERROR($S1079),"",OFFSET('Smelter Reference List'!$I$4,$S1079-4,0))</f>
        <v/>
      </c>
      <c r="K1079" s="295"/>
      <c r="L1079" s="295"/>
      <c r="M1079" s="295"/>
      <c r="N1079" s="295"/>
      <c r="O1079" s="295"/>
      <c r="P1079" s="295"/>
      <c r="Q1079" s="296"/>
      <c r="R1079" s="227"/>
      <c r="S1079" s="228" t="e">
        <f>IF(C1079="",NA(),MATCH($B1079&amp;$C1079,'Smelter Reference List'!$J:$J,0))</f>
        <v>#N/A</v>
      </c>
      <c r="T1079" s="229"/>
      <c r="U1079" s="229">
        <f t="shared" ca="1" si="34"/>
        <v>0</v>
      </c>
      <c r="V1079" s="229"/>
      <c r="W1079" s="229"/>
      <c r="Y1079" s="223" t="str">
        <f t="shared" si="35"/>
        <v/>
      </c>
    </row>
    <row r="1080" spans="1:25" s="223" customFormat="1" ht="20.25">
      <c r="A1080" s="291"/>
      <c r="B1080" s="292" t="str">
        <f>IF(LEN(A1080)=0,"",INDEX('Smelter Reference List'!$A:$A,MATCH($A1080,'Smelter Reference List'!$E:$E,0)))</f>
        <v/>
      </c>
      <c r="C1080" s="298" t="str">
        <f>IF(LEN(A1080)=0,"",INDEX('Smelter Reference List'!$C:$C,MATCH($A1080,'Smelter Reference List'!$E:$E,0)))</f>
        <v/>
      </c>
      <c r="D1080" s="292" t="str">
        <f ca="1">IF(ISERROR($S1080),"",OFFSET('Smelter Reference List'!$C$4,$S1080-4,0)&amp;"")</f>
        <v/>
      </c>
      <c r="E1080" s="292" t="str">
        <f ca="1">IF(ISERROR($S1080),"",OFFSET('Smelter Reference List'!$D$4,$S1080-4,0)&amp;"")</f>
        <v/>
      </c>
      <c r="F1080" s="292" t="str">
        <f ca="1">IF(ISERROR($S1080),"",OFFSET('Smelter Reference List'!$E$4,$S1080-4,0))</f>
        <v/>
      </c>
      <c r="G1080" s="292" t="str">
        <f ca="1">IF(C1080=$U$4,"Enter smelter details", IF(ISERROR($S1080),"",OFFSET('Smelter Reference List'!$F$4,$S1080-4,0)))</f>
        <v/>
      </c>
      <c r="H1080" s="293" t="str">
        <f ca="1">IF(ISERROR($S1080),"",OFFSET('Smelter Reference List'!$G$4,$S1080-4,0))</f>
        <v/>
      </c>
      <c r="I1080" s="294" t="str">
        <f ca="1">IF(ISERROR($S1080),"",OFFSET('Smelter Reference List'!$H$4,$S1080-4,0))</f>
        <v/>
      </c>
      <c r="J1080" s="294" t="str">
        <f ca="1">IF(ISERROR($S1080),"",OFFSET('Smelter Reference List'!$I$4,$S1080-4,0))</f>
        <v/>
      </c>
      <c r="K1080" s="295"/>
      <c r="L1080" s="295"/>
      <c r="M1080" s="295"/>
      <c r="N1080" s="295"/>
      <c r="O1080" s="295"/>
      <c r="P1080" s="295"/>
      <c r="Q1080" s="296"/>
      <c r="R1080" s="227"/>
      <c r="S1080" s="228" t="e">
        <f>IF(C1080="",NA(),MATCH($B1080&amp;$C1080,'Smelter Reference List'!$J:$J,0))</f>
        <v>#N/A</v>
      </c>
      <c r="T1080" s="229"/>
      <c r="U1080" s="229">
        <f t="shared" ca="1" si="34"/>
        <v>0</v>
      </c>
      <c r="V1080" s="229"/>
      <c r="W1080" s="229"/>
      <c r="Y1080" s="223" t="str">
        <f t="shared" si="35"/>
        <v/>
      </c>
    </row>
    <row r="1081" spans="1:25" s="223" customFormat="1" ht="20.25">
      <c r="A1081" s="291"/>
      <c r="B1081" s="292" t="str">
        <f>IF(LEN(A1081)=0,"",INDEX('Smelter Reference List'!$A:$A,MATCH($A1081,'Smelter Reference List'!$E:$E,0)))</f>
        <v/>
      </c>
      <c r="C1081" s="298" t="str">
        <f>IF(LEN(A1081)=0,"",INDEX('Smelter Reference List'!$C:$C,MATCH($A1081,'Smelter Reference List'!$E:$E,0)))</f>
        <v/>
      </c>
      <c r="D1081" s="292" t="str">
        <f ca="1">IF(ISERROR($S1081),"",OFFSET('Smelter Reference List'!$C$4,$S1081-4,0)&amp;"")</f>
        <v/>
      </c>
      <c r="E1081" s="292" t="str">
        <f ca="1">IF(ISERROR($S1081),"",OFFSET('Smelter Reference List'!$D$4,$S1081-4,0)&amp;"")</f>
        <v/>
      </c>
      <c r="F1081" s="292" t="str">
        <f ca="1">IF(ISERROR($S1081),"",OFFSET('Smelter Reference List'!$E$4,$S1081-4,0))</f>
        <v/>
      </c>
      <c r="G1081" s="292" t="str">
        <f ca="1">IF(C1081=$U$4,"Enter smelter details", IF(ISERROR($S1081),"",OFFSET('Smelter Reference List'!$F$4,$S1081-4,0)))</f>
        <v/>
      </c>
      <c r="H1081" s="293" t="str">
        <f ca="1">IF(ISERROR($S1081),"",OFFSET('Smelter Reference List'!$G$4,$S1081-4,0))</f>
        <v/>
      </c>
      <c r="I1081" s="294" t="str">
        <f ca="1">IF(ISERROR($S1081),"",OFFSET('Smelter Reference List'!$H$4,$S1081-4,0))</f>
        <v/>
      </c>
      <c r="J1081" s="294" t="str">
        <f ca="1">IF(ISERROR($S1081),"",OFFSET('Smelter Reference List'!$I$4,$S1081-4,0))</f>
        <v/>
      </c>
      <c r="K1081" s="295"/>
      <c r="L1081" s="295"/>
      <c r="M1081" s="295"/>
      <c r="N1081" s="295"/>
      <c r="O1081" s="295"/>
      <c r="P1081" s="295"/>
      <c r="Q1081" s="296"/>
      <c r="R1081" s="227"/>
      <c r="S1081" s="228" t="e">
        <f>IF(C1081="",NA(),MATCH($B1081&amp;$C1081,'Smelter Reference List'!$J:$J,0))</f>
        <v>#N/A</v>
      </c>
      <c r="T1081" s="229"/>
      <c r="U1081" s="229">
        <f t="shared" ca="1" si="34"/>
        <v>0</v>
      </c>
      <c r="V1081" s="229"/>
      <c r="W1081" s="229"/>
      <c r="Y1081" s="223" t="str">
        <f t="shared" si="35"/>
        <v/>
      </c>
    </row>
    <row r="1082" spans="1:25" s="223" customFormat="1" ht="20.25">
      <c r="A1082" s="291"/>
      <c r="B1082" s="292" t="str">
        <f>IF(LEN(A1082)=0,"",INDEX('Smelter Reference List'!$A:$A,MATCH($A1082,'Smelter Reference List'!$E:$E,0)))</f>
        <v/>
      </c>
      <c r="C1082" s="298" t="str">
        <f>IF(LEN(A1082)=0,"",INDEX('Smelter Reference List'!$C:$C,MATCH($A1082,'Smelter Reference List'!$E:$E,0)))</f>
        <v/>
      </c>
      <c r="D1082" s="292" t="str">
        <f ca="1">IF(ISERROR($S1082),"",OFFSET('Smelter Reference List'!$C$4,$S1082-4,0)&amp;"")</f>
        <v/>
      </c>
      <c r="E1082" s="292" t="str">
        <f ca="1">IF(ISERROR($S1082),"",OFFSET('Smelter Reference List'!$D$4,$S1082-4,0)&amp;"")</f>
        <v/>
      </c>
      <c r="F1082" s="292" t="str">
        <f ca="1">IF(ISERROR($S1082),"",OFFSET('Smelter Reference List'!$E$4,$S1082-4,0))</f>
        <v/>
      </c>
      <c r="G1082" s="292" t="str">
        <f ca="1">IF(C1082=$U$4,"Enter smelter details", IF(ISERROR($S1082),"",OFFSET('Smelter Reference List'!$F$4,$S1082-4,0)))</f>
        <v/>
      </c>
      <c r="H1082" s="293" t="str">
        <f ca="1">IF(ISERROR($S1082),"",OFFSET('Smelter Reference List'!$G$4,$S1082-4,0))</f>
        <v/>
      </c>
      <c r="I1082" s="294" t="str">
        <f ca="1">IF(ISERROR($S1082),"",OFFSET('Smelter Reference List'!$H$4,$S1082-4,0))</f>
        <v/>
      </c>
      <c r="J1082" s="294" t="str">
        <f ca="1">IF(ISERROR($S1082),"",OFFSET('Smelter Reference List'!$I$4,$S1082-4,0))</f>
        <v/>
      </c>
      <c r="K1082" s="295"/>
      <c r="L1082" s="295"/>
      <c r="M1082" s="295"/>
      <c r="N1082" s="295"/>
      <c r="O1082" s="295"/>
      <c r="P1082" s="295"/>
      <c r="Q1082" s="296"/>
      <c r="R1082" s="227"/>
      <c r="S1082" s="228" t="e">
        <f>IF(C1082="",NA(),MATCH($B1082&amp;$C1082,'Smelter Reference List'!$J:$J,0))</f>
        <v>#N/A</v>
      </c>
      <c r="T1082" s="229"/>
      <c r="U1082" s="229">
        <f t="shared" ca="1" si="34"/>
        <v>0</v>
      </c>
      <c r="V1082" s="229"/>
      <c r="W1082" s="229"/>
      <c r="Y1082" s="223" t="str">
        <f t="shared" si="35"/>
        <v/>
      </c>
    </row>
    <row r="1083" spans="1:25" s="223" customFormat="1" ht="20.25">
      <c r="A1083" s="291"/>
      <c r="B1083" s="292" t="str">
        <f>IF(LEN(A1083)=0,"",INDEX('Smelter Reference List'!$A:$A,MATCH($A1083,'Smelter Reference List'!$E:$E,0)))</f>
        <v/>
      </c>
      <c r="C1083" s="298" t="str">
        <f>IF(LEN(A1083)=0,"",INDEX('Smelter Reference List'!$C:$C,MATCH($A1083,'Smelter Reference List'!$E:$E,0)))</f>
        <v/>
      </c>
      <c r="D1083" s="292" t="str">
        <f ca="1">IF(ISERROR($S1083),"",OFFSET('Smelter Reference List'!$C$4,$S1083-4,0)&amp;"")</f>
        <v/>
      </c>
      <c r="E1083" s="292" t="str">
        <f ca="1">IF(ISERROR($S1083),"",OFFSET('Smelter Reference List'!$D$4,$S1083-4,0)&amp;"")</f>
        <v/>
      </c>
      <c r="F1083" s="292" t="str">
        <f ca="1">IF(ISERROR($S1083),"",OFFSET('Smelter Reference List'!$E$4,$S1083-4,0))</f>
        <v/>
      </c>
      <c r="G1083" s="292" t="str">
        <f ca="1">IF(C1083=$U$4,"Enter smelter details", IF(ISERROR($S1083),"",OFFSET('Smelter Reference List'!$F$4,$S1083-4,0)))</f>
        <v/>
      </c>
      <c r="H1083" s="293" t="str">
        <f ca="1">IF(ISERROR($S1083),"",OFFSET('Smelter Reference List'!$G$4,$S1083-4,0))</f>
        <v/>
      </c>
      <c r="I1083" s="294" t="str">
        <f ca="1">IF(ISERROR($S1083),"",OFFSET('Smelter Reference List'!$H$4,$S1083-4,0))</f>
        <v/>
      </c>
      <c r="J1083" s="294" t="str">
        <f ca="1">IF(ISERROR($S1083),"",OFFSET('Smelter Reference List'!$I$4,$S1083-4,0))</f>
        <v/>
      </c>
      <c r="K1083" s="295"/>
      <c r="L1083" s="295"/>
      <c r="M1083" s="295"/>
      <c r="N1083" s="295"/>
      <c r="O1083" s="295"/>
      <c r="P1083" s="295"/>
      <c r="Q1083" s="296"/>
      <c r="R1083" s="227"/>
      <c r="S1083" s="228" t="e">
        <f>IF(C1083="",NA(),MATCH($B1083&amp;$C1083,'Smelter Reference List'!$J:$J,0))</f>
        <v>#N/A</v>
      </c>
      <c r="T1083" s="229"/>
      <c r="U1083" s="229">
        <f t="shared" ca="1" si="34"/>
        <v>0</v>
      </c>
      <c r="V1083" s="229"/>
      <c r="W1083" s="229"/>
      <c r="Y1083" s="223" t="str">
        <f t="shared" si="35"/>
        <v/>
      </c>
    </row>
    <row r="1084" spans="1:25" s="223" customFormat="1" ht="20.25">
      <c r="A1084" s="291"/>
      <c r="B1084" s="292" t="str">
        <f>IF(LEN(A1084)=0,"",INDEX('Smelter Reference List'!$A:$A,MATCH($A1084,'Smelter Reference List'!$E:$E,0)))</f>
        <v/>
      </c>
      <c r="C1084" s="298" t="str">
        <f>IF(LEN(A1084)=0,"",INDEX('Smelter Reference List'!$C:$C,MATCH($A1084,'Smelter Reference List'!$E:$E,0)))</f>
        <v/>
      </c>
      <c r="D1084" s="292" t="str">
        <f ca="1">IF(ISERROR($S1084),"",OFFSET('Smelter Reference List'!$C$4,$S1084-4,0)&amp;"")</f>
        <v/>
      </c>
      <c r="E1084" s="292" t="str">
        <f ca="1">IF(ISERROR($S1084),"",OFFSET('Smelter Reference List'!$D$4,$S1084-4,0)&amp;"")</f>
        <v/>
      </c>
      <c r="F1084" s="292" t="str">
        <f ca="1">IF(ISERROR($S1084),"",OFFSET('Smelter Reference List'!$E$4,$S1084-4,0))</f>
        <v/>
      </c>
      <c r="G1084" s="292" t="str">
        <f ca="1">IF(C1084=$U$4,"Enter smelter details", IF(ISERROR($S1084),"",OFFSET('Smelter Reference List'!$F$4,$S1084-4,0)))</f>
        <v/>
      </c>
      <c r="H1084" s="293" t="str">
        <f ca="1">IF(ISERROR($S1084),"",OFFSET('Smelter Reference List'!$G$4,$S1084-4,0))</f>
        <v/>
      </c>
      <c r="I1084" s="294" t="str">
        <f ca="1">IF(ISERROR($S1084),"",OFFSET('Smelter Reference List'!$H$4,$S1084-4,0))</f>
        <v/>
      </c>
      <c r="J1084" s="294" t="str">
        <f ca="1">IF(ISERROR($S1084),"",OFFSET('Smelter Reference List'!$I$4,$S1084-4,0))</f>
        <v/>
      </c>
      <c r="K1084" s="295"/>
      <c r="L1084" s="295"/>
      <c r="M1084" s="295"/>
      <c r="N1084" s="295"/>
      <c r="O1084" s="295"/>
      <c r="P1084" s="295"/>
      <c r="Q1084" s="296"/>
      <c r="R1084" s="227"/>
      <c r="S1084" s="228" t="e">
        <f>IF(C1084="",NA(),MATCH($B1084&amp;$C1084,'Smelter Reference List'!$J:$J,0))</f>
        <v>#N/A</v>
      </c>
      <c r="T1084" s="229"/>
      <c r="U1084" s="229">
        <f t="shared" ca="1" si="34"/>
        <v>0</v>
      </c>
      <c r="V1084" s="229"/>
      <c r="W1084" s="229"/>
      <c r="Y1084" s="223" t="str">
        <f t="shared" si="35"/>
        <v/>
      </c>
    </row>
    <row r="1085" spans="1:25" s="223" customFormat="1" ht="20.25">
      <c r="A1085" s="291"/>
      <c r="B1085" s="292" t="str">
        <f>IF(LEN(A1085)=0,"",INDEX('Smelter Reference List'!$A:$A,MATCH($A1085,'Smelter Reference List'!$E:$E,0)))</f>
        <v/>
      </c>
      <c r="C1085" s="298" t="str">
        <f>IF(LEN(A1085)=0,"",INDEX('Smelter Reference List'!$C:$C,MATCH($A1085,'Smelter Reference List'!$E:$E,0)))</f>
        <v/>
      </c>
      <c r="D1085" s="292" t="str">
        <f ca="1">IF(ISERROR($S1085),"",OFFSET('Smelter Reference List'!$C$4,$S1085-4,0)&amp;"")</f>
        <v/>
      </c>
      <c r="E1085" s="292" t="str">
        <f ca="1">IF(ISERROR($S1085),"",OFFSET('Smelter Reference List'!$D$4,$S1085-4,0)&amp;"")</f>
        <v/>
      </c>
      <c r="F1085" s="292" t="str">
        <f ca="1">IF(ISERROR($S1085),"",OFFSET('Smelter Reference List'!$E$4,$S1085-4,0))</f>
        <v/>
      </c>
      <c r="G1085" s="292" t="str">
        <f ca="1">IF(C1085=$U$4,"Enter smelter details", IF(ISERROR($S1085),"",OFFSET('Smelter Reference List'!$F$4,$S1085-4,0)))</f>
        <v/>
      </c>
      <c r="H1085" s="293" t="str">
        <f ca="1">IF(ISERROR($S1085),"",OFFSET('Smelter Reference List'!$G$4,$S1085-4,0))</f>
        <v/>
      </c>
      <c r="I1085" s="294" t="str">
        <f ca="1">IF(ISERROR($S1085),"",OFFSET('Smelter Reference List'!$H$4,$S1085-4,0))</f>
        <v/>
      </c>
      <c r="J1085" s="294" t="str">
        <f ca="1">IF(ISERROR($S1085),"",OFFSET('Smelter Reference List'!$I$4,$S1085-4,0))</f>
        <v/>
      </c>
      <c r="K1085" s="295"/>
      <c r="L1085" s="295"/>
      <c r="M1085" s="295"/>
      <c r="N1085" s="295"/>
      <c r="O1085" s="295"/>
      <c r="P1085" s="295"/>
      <c r="Q1085" s="296"/>
      <c r="R1085" s="227"/>
      <c r="S1085" s="228" t="e">
        <f>IF(C1085="",NA(),MATCH($B1085&amp;$C1085,'Smelter Reference List'!$J:$J,0))</f>
        <v>#N/A</v>
      </c>
      <c r="T1085" s="229"/>
      <c r="U1085" s="229">
        <f t="shared" ca="1" si="34"/>
        <v>0</v>
      </c>
      <c r="V1085" s="229"/>
      <c r="W1085" s="229"/>
      <c r="Y1085" s="223" t="str">
        <f t="shared" si="35"/>
        <v/>
      </c>
    </row>
    <row r="1086" spans="1:25" s="223" customFormat="1" ht="20.25">
      <c r="A1086" s="291"/>
      <c r="B1086" s="292" t="str">
        <f>IF(LEN(A1086)=0,"",INDEX('Smelter Reference List'!$A:$A,MATCH($A1086,'Smelter Reference List'!$E:$E,0)))</f>
        <v/>
      </c>
      <c r="C1086" s="298" t="str">
        <f>IF(LEN(A1086)=0,"",INDEX('Smelter Reference List'!$C:$C,MATCH($A1086,'Smelter Reference List'!$E:$E,0)))</f>
        <v/>
      </c>
      <c r="D1086" s="292" t="str">
        <f ca="1">IF(ISERROR($S1086),"",OFFSET('Smelter Reference List'!$C$4,$S1086-4,0)&amp;"")</f>
        <v/>
      </c>
      <c r="E1086" s="292" t="str">
        <f ca="1">IF(ISERROR($S1086),"",OFFSET('Smelter Reference List'!$D$4,$S1086-4,0)&amp;"")</f>
        <v/>
      </c>
      <c r="F1086" s="292" t="str">
        <f ca="1">IF(ISERROR($S1086),"",OFFSET('Smelter Reference List'!$E$4,$S1086-4,0))</f>
        <v/>
      </c>
      <c r="G1086" s="292" t="str">
        <f ca="1">IF(C1086=$U$4,"Enter smelter details", IF(ISERROR($S1086),"",OFFSET('Smelter Reference List'!$F$4,$S1086-4,0)))</f>
        <v/>
      </c>
      <c r="H1086" s="293" t="str">
        <f ca="1">IF(ISERROR($S1086),"",OFFSET('Smelter Reference List'!$G$4,$S1086-4,0))</f>
        <v/>
      </c>
      <c r="I1086" s="294" t="str">
        <f ca="1">IF(ISERROR($S1086),"",OFFSET('Smelter Reference List'!$H$4,$S1086-4,0))</f>
        <v/>
      </c>
      <c r="J1086" s="294" t="str">
        <f ca="1">IF(ISERROR($S1086),"",OFFSET('Smelter Reference List'!$I$4,$S1086-4,0))</f>
        <v/>
      </c>
      <c r="K1086" s="295"/>
      <c r="L1086" s="295"/>
      <c r="M1086" s="295"/>
      <c r="N1086" s="295"/>
      <c r="O1086" s="295"/>
      <c r="P1086" s="295"/>
      <c r="Q1086" s="296"/>
      <c r="R1086" s="227"/>
      <c r="S1086" s="228" t="e">
        <f>IF(C1086="",NA(),MATCH($B1086&amp;$C1086,'Smelter Reference List'!$J:$J,0))</f>
        <v>#N/A</v>
      </c>
      <c r="T1086" s="229"/>
      <c r="U1086" s="229">
        <f t="shared" ca="1" si="34"/>
        <v>0</v>
      </c>
      <c r="V1086" s="229"/>
      <c r="W1086" s="229"/>
      <c r="Y1086" s="223" t="str">
        <f t="shared" si="35"/>
        <v/>
      </c>
    </row>
    <row r="1087" spans="1:25" s="223" customFormat="1" ht="20.25">
      <c r="A1087" s="291"/>
      <c r="B1087" s="292" t="str">
        <f>IF(LEN(A1087)=0,"",INDEX('Smelter Reference List'!$A:$A,MATCH($A1087,'Smelter Reference List'!$E:$E,0)))</f>
        <v/>
      </c>
      <c r="C1087" s="298" t="str">
        <f>IF(LEN(A1087)=0,"",INDEX('Smelter Reference List'!$C:$C,MATCH($A1087,'Smelter Reference List'!$E:$E,0)))</f>
        <v/>
      </c>
      <c r="D1087" s="292" t="str">
        <f ca="1">IF(ISERROR($S1087),"",OFFSET('Smelter Reference List'!$C$4,$S1087-4,0)&amp;"")</f>
        <v/>
      </c>
      <c r="E1087" s="292" t="str">
        <f ca="1">IF(ISERROR($S1087),"",OFFSET('Smelter Reference List'!$D$4,$S1087-4,0)&amp;"")</f>
        <v/>
      </c>
      <c r="F1087" s="292" t="str">
        <f ca="1">IF(ISERROR($S1087),"",OFFSET('Smelter Reference List'!$E$4,$S1087-4,0))</f>
        <v/>
      </c>
      <c r="G1087" s="292" t="str">
        <f ca="1">IF(C1087=$U$4,"Enter smelter details", IF(ISERROR($S1087),"",OFFSET('Smelter Reference List'!$F$4,$S1087-4,0)))</f>
        <v/>
      </c>
      <c r="H1087" s="293" t="str">
        <f ca="1">IF(ISERROR($S1087),"",OFFSET('Smelter Reference List'!$G$4,$S1087-4,0))</f>
        <v/>
      </c>
      <c r="I1087" s="294" t="str">
        <f ca="1">IF(ISERROR($S1087),"",OFFSET('Smelter Reference List'!$H$4,$S1087-4,0))</f>
        <v/>
      </c>
      <c r="J1087" s="294" t="str">
        <f ca="1">IF(ISERROR($S1087),"",OFFSET('Smelter Reference List'!$I$4,$S1087-4,0))</f>
        <v/>
      </c>
      <c r="K1087" s="295"/>
      <c r="L1087" s="295"/>
      <c r="M1087" s="295"/>
      <c r="N1087" s="295"/>
      <c r="O1087" s="295"/>
      <c r="P1087" s="295"/>
      <c r="Q1087" s="296"/>
      <c r="R1087" s="227"/>
      <c r="S1087" s="228" t="e">
        <f>IF(C1087="",NA(),MATCH($B1087&amp;$C1087,'Smelter Reference List'!$J:$J,0))</f>
        <v>#N/A</v>
      </c>
      <c r="T1087" s="229"/>
      <c r="U1087" s="229">
        <f t="shared" ca="1" si="34"/>
        <v>0</v>
      </c>
      <c r="V1087" s="229"/>
      <c r="W1087" s="229"/>
      <c r="Y1087" s="223" t="str">
        <f t="shared" si="35"/>
        <v/>
      </c>
    </row>
    <row r="1088" spans="1:25" s="223" customFormat="1" ht="20.25">
      <c r="A1088" s="291"/>
      <c r="B1088" s="292" t="str">
        <f>IF(LEN(A1088)=0,"",INDEX('Smelter Reference List'!$A:$A,MATCH($A1088,'Smelter Reference List'!$E:$E,0)))</f>
        <v/>
      </c>
      <c r="C1088" s="298" t="str">
        <f>IF(LEN(A1088)=0,"",INDEX('Smelter Reference List'!$C:$C,MATCH($A1088,'Smelter Reference List'!$E:$E,0)))</f>
        <v/>
      </c>
      <c r="D1088" s="292" t="str">
        <f ca="1">IF(ISERROR($S1088),"",OFFSET('Smelter Reference List'!$C$4,$S1088-4,0)&amp;"")</f>
        <v/>
      </c>
      <c r="E1088" s="292" t="str">
        <f ca="1">IF(ISERROR($S1088),"",OFFSET('Smelter Reference List'!$D$4,$S1088-4,0)&amp;"")</f>
        <v/>
      </c>
      <c r="F1088" s="292" t="str">
        <f ca="1">IF(ISERROR($S1088),"",OFFSET('Smelter Reference List'!$E$4,$S1088-4,0))</f>
        <v/>
      </c>
      <c r="G1088" s="292" t="str">
        <f ca="1">IF(C1088=$U$4,"Enter smelter details", IF(ISERROR($S1088),"",OFFSET('Smelter Reference List'!$F$4,$S1088-4,0)))</f>
        <v/>
      </c>
      <c r="H1088" s="293" t="str">
        <f ca="1">IF(ISERROR($S1088),"",OFFSET('Smelter Reference List'!$G$4,$S1088-4,0))</f>
        <v/>
      </c>
      <c r="I1088" s="294" t="str">
        <f ca="1">IF(ISERROR($S1088),"",OFFSET('Smelter Reference List'!$H$4,$S1088-4,0))</f>
        <v/>
      </c>
      <c r="J1088" s="294" t="str">
        <f ca="1">IF(ISERROR($S1088),"",OFFSET('Smelter Reference List'!$I$4,$S1088-4,0))</f>
        <v/>
      </c>
      <c r="K1088" s="295"/>
      <c r="L1088" s="295"/>
      <c r="M1088" s="295"/>
      <c r="N1088" s="295"/>
      <c r="O1088" s="295"/>
      <c r="P1088" s="295"/>
      <c r="Q1088" s="296"/>
      <c r="R1088" s="227"/>
      <c r="S1088" s="228" t="e">
        <f>IF(C1088="",NA(),MATCH($B1088&amp;$C1088,'Smelter Reference List'!$J:$J,0))</f>
        <v>#N/A</v>
      </c>
      <c r="T1088" s="229"/>
      <c r="U1088" s="229">
        <f t="shared" ca="1" si="34"/>
        <v>0</v>
      </c>
      <c r="V1088" s="229"/>
      <c r="W1088" s="229"/>
      <c r="Y1088" s="223" t="str">
        <f t="shared" si="35"/>
        <v/>
      </c>
    </row>
    <row r="1089" spans="1:25" s="223" customFormat="1" ht="20.25">
      <c r="A1089" s="291"/>
      <c r="B1089" s="292" t="str">
        <f>IF(LEN(A1089)=0,"",INDEX('Smelter Reference List'!$A:$A,MATCH($A1089,'Smelter Reference List'!$E:$E,0)))</f>
        <v/>
      </c>
      <c r="C1089" s="298" t="str">
        <f>IF(LEN(A1089)=0,"",INDEX('Smelter Reference List'!$C:$C,MATCH($A1089,'Smelter Reference List'!$E:$E,0)))</f>
        <v/>
      </c>
      <c r="D1089" s="292" t="str">
        <f ca="1">IF(ISERROR($S1089),"",OFFSET('Smelter Reference List'!$C$4,$S1089-4,0)&amp;"")</f>
        <v/>
      </c>
      <c r="E1089" s="292" t="str">
        <f ca="1">IF(ISERROR($S1089),"",OFFSET('Smelter Reference List'!$D$4,$S1089-4,0)&amp;"")</f>
        <v/>
      </c>
      <c r="F1089" s="292" t="str">
        <f ca="1">IF(ISERROR($S1089),"",OFFSET('Smelter Reference List'!$E$4,$S1089-4,0))</f>
        <v/>
      </c>
      <c r="G1089" s="292" t="str">
        <f ca="1">IF(C1089=$U$4,"Enter smelter details", IF(ISERROR($S1089),"",OFFSET('Smelter Reference List'!$F$4,$S1089-4,0)))</f>
        <v/>
      </c>
      <c r="H1089" s="293" t="str">
        <f ca="1">IF(ISERROR($S1089),"",OFFSET('Smelter Reference List'!$G$4,$S1089-4,0))</f>
        <v/>
      </c>
      <c r="I1089" s="294" t="str">
        <f ca="1">IF(ISERROR($S1089),"",OFFSET('Smelter Reference List'!$H$4,$S1089-4,0))</f>
        <v/>
      </c>
      <c r="J1089" s="294" t="str">
        <f ca="1">IF(ISERROR($S1089),"",OFFSET('Smelter Reference List'!$I$4,$S1089-4,0))</f>
        <v/>
      </c>
      <c r="K1089" s="295"/>
      <c r="L1089" s="295"/>
      <c r="M1089" s="295"/>
      <c r="N1089" s="295"/>
      <c r="O1089" s="295"/>
      <c r="P1089" s="295"/>
      <c r="Q1089" s="296"/>
      <c r="R1089" s="227"/>
      <c r="S1089" s="228" t="e">
        <f>IF(C1089="",NA(),MATCH($B1089&amp;$C1089,'Smelter Reference List'!$J:$J,0))</f>
        <v>#N/A</v>
      </c>
      <c r="T1089" s="229"/>
      <c r="U1089" s="229">
        <f t="shared" ca="1" si="34"/>
        <v>0</v>
      </c>
      <c r="V1089" s="229"/>
      <c r="W1089" s="229"/>
      <c r="Y1089" s="223" t="str">
        <f t="shared" si="35"/>
        <v/>
      </c>
    </row>
    <row r="1090" spans="1:25" s="223" customFormat="1" ht="20.25">
      <c r="A1090" s="291"/>
      <c r="B1090" s="292" t="str">
        <f>IF(LEN(A1090)=0,"",INDEX('Smelter Reference List'!$A:$A,MATCH($A1090,'Smelter Reference List'!$E:$E,0)))</f>
        <v/>
      </c>
      <c r="C1090" s="298" t="str">
        <f>IF(LEN(A1090)=0,"",INDEX('Smelter Reference List'!$C:$C,MATCH($A1090,'Smelter Reference List'!$E:$E,0)))</f>
        <v/>
      </c>
      <c r="D1090" s="292" t="str">
        <f ca="1">IF(ISERROR($S1090),"",OFFSET('Smelter Reference List'!$C$4,$S1090-4,0)&amp;"")</f>
        <v/>
      </c>
      <c r="E1090" s="292" t="str">
        <f ca="1">IF(ISERROR($S1090),"",OFFSET('Smelter Reference List'!$D$4,$S1090-4,0)&amp;"")</f>
        <v/>
      </c>
      <c r="F1090" s="292" t="str">
        <f ca="1">IF(ISERROR($S1090),"",OFFSET('Smelter Reference List'!$E$4,$S1090-4,0))</f>
        <v/>
      </c>
      <c r="G1090" s="292" t="str">
        <f ca="1">IF(C1090=$U$4,"Enter smelter details", IF(ISERROR($S1090),"",OFFSET('Smelter Reference List'!$F$4,$S1090-4,0)))</f>
        <v/>
      </c>
      <c r="H1090" s="293" t="str">
        <f ca="1">IF(ISERROR($S1090),"",OFFSET('Smelter Reference List'!$G$4,$S1090-4,0))</f>
        <v/>
      </c>
      <c r="I1090" s="294" t="str">
        <f ca="1">IF(ISERROR($S1090),"",OFFSET('Smelter Reference List'!$H$4,$S1090-4,0))</f>
        <v/>
      </c>
      <c r="J1090" s="294" t="str">
        <f ca="1">IF(ISERROR($S1090),"",OFFSET('Smelter Reference List'!$I$4,$S1090-4,0))</f>
        <v/>
      </c>
      <c r="K1090" s="295"/>
      <c r="L1090" s="295"/>
      <c r="M1090" s="295"/>
      <c r="N1090" s="295"/>
      <c r="O1090" s="295"/>
      <c r="P1090" s="295"/>
      <c r="Q1090" s="296"/>
      <c r="R1090" s="227"/>
      <c r="S1090" s="228" t="e">
        <f>IF(C1090="",NA(),MATCH($B1090&amp;$C1090,'Smelter Reference List'!$J:$J,0))</f>
        <v>#N/A</v>
      </c>
      <c r="T1090" s="229"/>
      <c r="U1090" s="229">
        <f t="shared" ca="1" si="34"/>
        <v>0</v>
      </c>
      <c r="V1090" s="229"/>
      <c r="W1090" s="229"/>
      <c r="Y1090" s="223" t="str">
        <f t="shared" si="35"/>
        <v/>
      </c>
    </row>
    <row r="1091" spans="1:25" s="223" customFormat="1" ht="20.25">
      <c r="A1091" s="291"/>
      <c r="B1091" s="292" t="str">
        <f>IF(LEN(A1091)=0,"",INDEX('Smelter Reference List'!$A:$A,MATCH($A1091,'Smelter Reference List'!$E:$E,0)))</f>
        <v/>
      </c>
      <c r="C1091" s="298" t="str">
        <f>IF(LEN(A1091)=0,"",INDEX('Smelter Reference List'!$C:$C,MATCH($A1091,'Smelter Reference List'!$E:$E,0)))</f>
        <v/>
      </c>
      <c r="D1091" s="292" t="str">
        <f ca="1">IF(ISERROR($S1091),"",OFFSET('Smelter Reference List'!$C$4,$S1091-4,0)&amp;"")</f>
        <v/>
      </c>
      <c r="E1091" s="292" t="str">
        <f ca="1">IF(ISERROR($S1091),"",OFFSET('Smelter Reference List'!$D$4,$S1091-4,0)&amp;"")</f>
        <v/>
      </c>
      <c r="F1091" s="292" t="str">
        <f ca="1">IF(ISERROR($S1091),"",OFFSET('Smelter Reference List'!$E$4,$S1091-4,0))</f>
        <v/>
      </c>
      <c r="G1091" s="292" t="str">
        <f ca="1">IF(C1091=$U$4,"Enter smelter details", IF(ISERROR($S1091),"",OFFSET('Smelter Reference List'!$F$4,$S1091-4,0)))</f>
        <v/>
      </c>
      <c r="H1091" s="293" t="str">
        <f ca="1">IF(ISERROR($S1091),"",OFFSET('Smelter Reference List'!$G$4,$S1091-4,0))</f>
        <v/>
      </c>
      <c r="I1091" s="294" t="str">
        <f ca="1">IF(ISERROR($S1091),"",OFFSET('Smelter Reference List'!$H$4,$S1091-4,0))</f>
        <v/>
      </c>
      <c r="J1091" s="294" t="str">
        <f ca="1">IF(ISERROR($S1091),"",OFFSET('Smelter Reference List'!$I$4,$S1091-4,0))</f>
        <v/>
      </c>
      <c r="K1091" s="295"/>
      <c r="L1091" s="295"/>
      <c r="M1091" s="295"/>
      <c r="N1091" s="295"/>
      <c r="O1091" s="295"/>
      <c r="P1091" s="295"/>
      <c r="Q1091" s="296"/>
      <c r="R1091" s="227"/>
      <c r="S1091" s="228" t="e">
        <f>IF(C1091="",NA(),MATCH($B1091&amp;$C1091,'Smelter Reference List'!$J:$J,0))</f>
        <v>#N/A</v>
      </c>
      <c r="T1091" s="229"/>
      <c r="U1091" s="229">
        <f t="shared" ca="1" si="34"/>
        <v>0</v>
      </c>
      <c r="V1091" s="229"/>
      <c r="W1091" s="229"/>
      <c r="Y1091" s="223" t="str">
        <f t="shared" si="35"/>
        <v/>
      </c>
    </row>
    <row r="1092" spans="1:25" s="223" customFormat="1" ht="20.25">
      <c r="A1092" s="291"/>
      <c r="B1092" s="292" t="str">
        <f>IF(LEN(A1092)=0,"",INDEX('Smelter Reference List'!$A:$A,MATCH($A1092,'Smelter Reference List'!$E:$E,0)))</f>
        <v/>
      </c>
      <c r="C1092" s="298" t="str">
        <f>IF(LEN(A1092)=0,"",INDEX('Smelter Reference List'!$C:$C,MATCH($A1092,'Smelter Reference List'!$E:$E,0)))</f>
        <v/>
      </c>
      <c r="D1092" s="292" t="str">
        <f ca="1">IF(ISERROR($S1092),"",OFFSET('Smelter Reference List'!$C$4,$S1092-4,0)&amp;"")</f>
        <v/>
      </c>
      <c r="E1092" s="292" t="str">
        <f ca="1">IF(ISERROR($S1092),"",OFFSET('Smelter Reference List'!$D$4,$S1092-4,0)&amp;"")</f>
        <v/>
      </c>
      <c r="F1092" s="292" t="str">
        <f ca="1">IF(ISERROR($S1092),"",OFFSET('Smelter Reference List'!$E$4,$S1092-4,0))</f>
        <v/>
      </c>
      <c r="G1092" s="292" t="str">
        <f ca="1">IF(C1092=$U$4,"Enter smelter details", IF(ISERROR($S1092),"",OFFSET('Smelter Reference List'!$F$4,$S1092-4,0)))</f>
        <v/>
      </c>
      <c r="H1092" s="293" t="str">
        <f ca="1">IF(ISERROR($S1092),"",OFFSET('Smelter Reference List'!$G$4,$S1092-4,0))</f>
        <v/>
      </c>
      <c r="I1092" s="294" t="str">
        <f ca="1">IF(ISERROR($S1092),"",OFFSET('Smelter Reference List'!$H$4,$S1092-4,0))</f>
        <v/>
      </c>
      <c r="J1092" s="294" t="str">
        <f ca="1">IF(ISERROR($S1092),"",OFFSET('Smelter Reference List'!$I$4,$S1092-4,0))</f>
        <v/>
      </c>
      <c r="K1092" s="295"/>
      <c r="L1092" s="295"/>
      <c r="M1092" s="295"/>
      <c r="N1092" s="295"/>
      <c r="O1092" s="295"/>
      <c r="P1092" s="295"/>
      <c r="Q1092" s="296"/>
      <c r="R1092" s="227"/>
      <c r="S1092" s="228" t="e">
        <f>IF(C1092="",NA(),MATCH($B1092&amp;$C1092,'Smelter Reference List'!$J:$J,0))</f>
        <v>#N/A</v>
      </c>
      <c r="T1092" s="229"/>
      <c r="U1092" s="229">
        <f t="shared" ca="1" si="34"/>
        <v>0</v>
      </c>
      <c r="V1092" s="229"/>
      <c r="W1092" s="229"/>
      <c r="Y1092" s="223" t="str">
        <f t="shared" si="35"/>
        <v/>
      </c>
    </row>
    <row r="1093" spans="1:25" s="223" customFormat="1" ht="20.25">
      <c r="A1093" s="291"/>
      <c r="B1093" s="292" t="str">
        <f>IF(LEN(A1093)=0,"",INDEX('Smelter Reference List'!$A:$A,MATCH($A1093,'Smelter Reference List'!$E:$E,0)))</f>
        <v/>
      </c>
      <c r="C1093" s="298" t="str">
        <f>IF(LEN(A1093)=0,"",INDEX('Smelter Reference List'!$C:$C,MATCH($A1093,'Smelter Reference List'!$E:$E,0)))</f>
        <v/>
      </c>
      <c r="D1093" s="292" t="str">
        <f ca="1">IF(ISERROR($S1093),"",OFFSET('Smelter Reference List'!$C$4,$S1093-4,0)&amp;"")</f>
        <v/>
      </c>
      <c r="E1093" s="292" t="str">
        <f ca="1">IF(ISERROR($S1093),"",OFFSET('Smelter Reference List'!$D$4,$S1093-4,0)&amp;"")</f>
        <v/>
      </c>
      <c r="F1093" s="292" t="str">
        <f ca="1">IF(ISERROR($S1093),"",OFFSET('Smelter Reference List'!$E$4,$S1093-4,0))</f>
        <v/>
      </c>
      <c r="G1093" s="292" t="str">
        <f ca="1">IF(C1093=$U$4,"Enter smelter details", IF(ISERROR($S1093),"",OFFSET('Smelter Reference List'!$F$4,$S1093-4,0)))</f>
        <v/>
      </c>
      <c r="H1093" s="293" t="str">
        <f ca="1">IF(ISERROR($S1093),"",OFFSET('Smelter Reference List'!$G$4,$S1093-4,0))</f>
        <v/>
      </c>
      <c r="I1093" s="294" t="str">
        <f ca="1">IF(ISERROR($S1093),"",OFFSET('Smelter Reference List'!$H$4,$S1093-4,0))</f>
        <v/>
      </c>
      <c r="J1093" s="294" t="str">
        <f ca="1">IF(ISERROR($S1093),"",OFFSET('Smelter Reference List'!$I$4,$S1093-4,0))</f>
        <v/>
      </c>
      <c r="K1093" s="295"/>
      <c r="L1093" s="295"/>
      <c r="M1093" s="295"/>
      <c r="N1093" s="295"/>
      <c r="O1093" s="295"/>
      <c r="P1093" s="295"/>
      <c r="Q1093" s="296"/>
      <c r="R1093" s="227"/>
      <c r="S1093" s="228" t="e">
        <f>IF(C1093="",NA(),MATCH($B1093&amp;$C1093,'Smelter Reference List'!$J:$J,0))</f>
        <v>#N/A</v>
      </c>
      <c r="T1093" s="229"/>
      <c r="U1093" s="229">
        <f t="shared" ref="U1093:U1156" ca="1" si="36">IF(AND(C1093="Smelter not listed",OR(LEN(D1093)=0,LEN(E1093)=0)),1,0)</f>
        <v>0</v>
      </c>
      <c r="V1093" s="229"/>
      <c r="W1093" s="229"/>
      <c r="Y1093" s="223" t="str">
        <f t="shared" ref="Y1093:Y1156" si="37">B1093&amp;C1093</f>
        <v/>
      </c>
    </row>
    <row r="1094" spans="1:25" s="223" customFormat="1" ht="20.25">
      <c r="A1094" s="291"/>
      <c r="B1094" s="292" t="str">
        <f>IF(LEN(A1094)=0,"",INDEX('Smelter Reference List'!$A:$A,MATCH($A1094,'Smelter Reference List'!$E:$E,0)))</f>
        <v/>
      </c>
      <c r="C1094" s="298" t="str">
        <f>IF(LEN(A1094)=0,"",INDEX('Smelter Reference List'!$C:$C,MATCH($A1094,'Smelter Reference List'!$E:$E,0)))</f>
        <v/>
      </c>
      <c r="D1094" s="292" t="str">
        <f ca="1">IF(ISERROR($S1094),"",OFFSET('Smelter Reference List'!$C$4,$S1094-4,0)&amp;"")</f>
        <v/>
      </c>
      <c r="E1094" s="292" t="str">
        <f ca="1">IF(ISERROR($S1094),"",OFFSET('Smelter Reference List'!$D$4,$S1094-4,0)&amp;"")</f>
        <v/>
      </c>
      <c r="F1094" s="292" t="str">
        <f ca="1">IF(ISERROR($S1094),"",OFFSET('Smelter Reference List'!$E$4,$S1094-4,0))</f>
        <v/>
      </c>
      <c r="G1094" s="292" t="str">
        <f ca="1">IF(C1094=$U$4,"Enter smelter details", IF(ISERROR($S1094),"",OFFSET('Smelter Reference List'!$F$4,$S1094-4,0)))</f>
        <v/>
      </c>
      <c r="H1094" s="293" t="str">
        <f ca="1">IF(ISERROR($S1094),"",OFFSET('Smelter Reference List'!$G$4,$S1094-4,0))</f>
        <v/>
      </c>
      <c r="I1094" s="294" t="str">
        <f ca="1">IF(ISERROR($S1094),"",OFFSET('Smelter Reference List'!$H$4,$S1094-4,0))</f>
        <v/>
      </c>
      <c r="J1094" s="294" t="str">
        <f ca="1">IF(ISERROR($S1094),"",OFFSET('Smelter Reference List'!$I$4,$S1094-4,0))</f>
        <v/>
      </c>
      <c r="K1094" s="295"/>
      <c r="L1094" s="295"/>
      <c r="M1094" s="295"/>
      <c r="N1094" s="295"/>
      <c r="O1094" s="295"/>
      <c r="P1094" s="295"/>
      <c r="Q1094" s="296"/>
      <c r="R1094" s="227"/>
      <c r="S1094" s="228" t="e">
        <f>IF(C1094="",NA(),MATCH($B1094&amp;$C1094,'Smelter Reference List'!$J:$J,0))</f>
        <v>#N/A</v>
      </c>
      <c r="T1094" s="229"/>
      <c r="U1094" s="229">
        <f t="shared" ca="1" si="36"/>
        <v>0</v>
      </c>
      <c r="V1094" s="229"/>
      <c r="W1094" s="229"/>
      <c r="Y1094" s="223" t="str">
        <f t="shared" si="37"/>
        <v/>
      </c>
    </row>
    <row r="1095" spans="1:25" s="223" customFormat="1" ht="20.25">
      <c r="A1095" s="291"/>
      <c r="B1095" s="292" t="str">
        <f>IF(LEN(A1095)=0,"",INDEX('Smelter Reference List'!$A:$A,MATCH($A1095,'Smelter Reference List'!$E:$E,0)))</f>
        <v/>
      </c>
      <c r="C1095" s="298" t="str">
        <f>IF(LEN(A1095)=0,"",INDEX('Smelter Reference List'!$C:$C,MATCH($A1095,'Smelter Reference List'!$E:$E,0)))</f>
        <v/>
      </c>
      <c r="D1095" s="292" t="str">
        <f ca="1">IF(ISERROR($S1095),"",OFFSET('Smelter Reference List'!$C$4,$S1095-4,0)&amp;"")</f>
        <v/>
      </c>
      <c r="E1095" s="292" t="str">
        <f ca="1">IF(ISERROR($S1095),"",OFFSET('Smelter Reference List'!$D$4,$S1095-4,0)&amp;"")</f>
        <v/>
      </c>
      <c r="F1095" s="292" t="str">
        <f ca="1">IF(ISERROR($S1095),"",OFFSET('Smelter Reference List'!$E$4,$S1095-4,0))</f>
        <v/>
      </c>
      <c r="G1095" s="292" t="str">
        <f ca="1">IF(C1095=$U$4,"Enter smelter details", IF(ISERROR($S1095),"",OFFSET('Smelter Reference List'!$F$4,$S1095-4,0)))</f>
        <v/>
      </c>
      <c r="H1095" s="293" t="str">
        <f ca="1">IF(ISERROR($S1095),"",OFFSET('Smelter Reference List'!$G$4,$S1095-4,0))</f>
        <v/>
      </c>
      <c r="I1095" s="294" t="str">
        <f ca="1">IF(ISERROR($S1095),"",OFFSET('Smelter Reference List'!$H$4,$S1095-4,0))</f>
        <v/>
      </c>
      <c r="J1095" s="294" t="str">
        <f ca="1">IF(ISERROR($S1095),"",OFFSET('Smelter Reference List'!$I$4,$S1095-4,0))</f>
        <v/>
      </c>
      <c r="K1095" s="295"/>
      <c r="L1095" s="295"/>
      <c r="M1095" s="295"/>
      <c r="N1095" s="295"/>
      <c r="O1095" s="295"/>
      <c r="P1095" s="295"/>
      <c r="Q1095" s="296"/>
      <c r="R1095" s="227"/>
      <c r="S1095" s="228" t="e">
        <f>IF(C1095="",NA(),MATCH($B1095&amp;$C1095,'Smelter Reference List'!$J:$J,0))</f>
        <v>#N/A</v>
      </c>
      <c r="T1095" s="229"/>
      <c r="U1095" s="229">
        <f t="shared" ca="1" si="36"/>
        <v>0</v>
      </c>
      <c r="V1095" s="229"/>
      <c r="W1095" s="229"/>
      <c r="Y1095" s="223" t="str">
        <f t="shared" si="37"/>
        <v/>
      </c>
    </row>
    <row r="1096" spans="1:25" s="223" customFormat="1" ht="20.25">
      <c r="A1096" s="291"/>
      <c r="B1096" s="292" t="str">
        <f>IF(LEN(A1096)=0,"",INDEX('Smelter Reference List'!$A:$A,MATCH($A1096,'Smelter Reference List'!$E:$E,0)))</f>
        <v/>
      </c>
      <c r="C1096" s="298" t="str">
        <f>IF(LEN(A1096)=0,"",INDEX('Smelter Reference List'!$C:$C,MATCH($A1096,'Smelter Reference List'!$E:$E,0)))</f>
        <v/>
      </c>
      <c r="D1096" s="292" t="str">
        <f ca="1">IF(ISERROR($S1096),"",OFFSET('Smelter Reference List'!$C$4,$S1096-4,0)&amp;"")</f>
        <v/>
      </c>
      <c r="E1096" s="292" t="str">
        <f ca="1">IF(ISERROR($S1096),"",OFFSET('Smelter Reference List'!$D$4,$S1096-4,0)&amp;"")</f>
        <v/>
      </c>
      <c r="F1096" s="292" t="str">
        <f ca="1">IF(ISERROR($S1096),"",OFFSET('Smelter Reference List'!$E$4,$S1096-4,0))</f>
        <v/>
      </c>
      <c r="G1096" s="292" t="str">
        <f ca="1">IF(C1096=$U$4,"Enter smelter details", IF(ISERROR($S1096),"",OFFSET('Smelter Reference List'!$F$4,$S1096-4,0)))</f>
        <v/>
      </c>
      <c r="H1096" s="293" t="str">
        <f ca="1">IF(ISERROR($S1096),"",OFFSET('Smelter Reference List'!$G$4,$S1096-4,0))</f>
        <v/>
      </c>
      <c r="I1096" s="294" t="str">
        <f ca="1">IF(ISERROR($S1096),"",OFFSET('Smelter Reference List'!$H$4,$S1096-4,0))</f>
        <v/>
      </c>
      <c r="J1096" s="294" t="str">
        <f ca="1">IF(ISERROR($S1096),"",OFFSET('Smelter Reference List'!$I$4,$S1096-4,0))</f>
        <v/>
      </c>
      <c r="K1096" s="295"/>
      <c r="L1096" s="295"/>
      <c r="M1096" s="295"/>
      <c r="N1096" s="295"/>
      <c r="O1096" s="295"/>
      <c r="P1096" s="295"/>
      <c r="Q1096" s="296"/>
      <c r="R1096" s="227"/>
      <c r="S1096" s="228" t="e">
        <f>IF(C1096="",NA(),MATCH($B1096&amp;$C1096,'Smelter Reference List'!$J:$J,0))</f>
        <v>#N/A</v>
      </c>
      <c r="T1096" s="229"/>
      <c r="U1096" s="229">
        <f t="shared" ca="1" si="36"/>
        <v>0</v>
      </c>
      <c r="V1096" s="229"/>
      <c r="W1096" s="229"/>
      <c r="Y1096" s="223" t="str">
        <f t="shared" si="37"/>
        <v/>
      </c>
    </row>
    <row r="1097" spans="1:25" s="223" customFormat="1" ht="20.25">
      <c r="A1097" s="291"/>
      <c r="B1097" s="292" t="str">
        <f>IF(LEN(A1097)=0,"",INDEX('Smelter Reference List'!$A:$A,MATCH($A1097,'Smelter Reference List'!$E:$E,0)))</f>
        <v/>
      </c>
      <c r="C1097" s="298" t="str">
        <f>IF(LEN(A1097)=0,"",INDEX('Smelter Reference List'!$C:$C,MATCH($A1097,'Smelter Reference List'!$E:$E,0)))</f>
        <v/>
      </c>
      <c r="D1097" s="292" t="str">
        <f ca="1">IF(ISERROR($S1097),"",OFFSET('Smelter Reference List'!$C$4,$S1097-4,0)&amp;"")</f>
        <v/>
      </c>
      <c r="E1097" s="292" t="str">
        <f ca="1">IF(ISERROR($S1097),"",OFFSET('Smelter Reference List'!$D$4,$S1097-4,0)&amp;"")</f>
        <v/>
      </c>
      <c r="F1097" s="292" t="str">
        <f ca="1">IF(ISERROR($S1097),"",OFFSET('Smelter Reference List'!$E$4,$S1097-4,0))</f>
        <v/>
      </c>
      <c r="G1097" s="292" t="str">
        <f ca="1">IF(C1097=$U$4,"Enter smelter details", IF(ISERROR($S1097),"",OFFSET('Smelter Reference List'!$F$4,$S1097-4,0)))</f>
        <v/>
      </c>
      <c r="H1097" s="293" t="str">
        <f ca="1">IF(ISERROR($S1097),"",OFFSET('Smelter Reference List'!$G$4,$S1097-4,0))</f>
        <v/>
      </c>
      <c r="I1097" s="294" t="str">
        <f ca="1">IF(ISERROR($S1097),"",OFFSET('Smelter Reference List'!$H$4,$S1097-4,0))</f>
        <v/>
      </c>
      <c r="J1097" s="294" t="str">
        <f ca="1">IF(ISERROR($S1097),"",OFFSET('Smelter Reference List'!$I$4,$S1097-4,0))</f>
        <v/>
      </c>
      <c r="K1097" s="295"/>
      <c r="L1097" s="295"/>
      <c r="M1097" s="295"/>
      <c r="N1097" s="295"/>
      <c r="O1097" s="295"/>
      <c r="P1097" s="295"/>
      <c r="Q1097" s="296"/>
      <c r="R1097" s="227"/>
      <c r="S1097" s="228" t="e">
        <f>IF(C1097="",NA(),MATCH($B1097&amp;$C1097,'Smelter Reference List'!$J:$J,0))</f>
        <v>#N/A</v>
      </c>
      <c r="T1097" s="229"/>
      <c r="U1097" s="229">
        <f t="shared" ca="1" si="36"/>
        <v>0</v>
      </c>
      <c r="V1097" s="229"/>
      <c r="W1097" s="229"/>
      <c r="Y1097" s="223" t="str">
        <f t="shared" si="37"/>
        <v/>
      </c>
    </row>
    <row r="1098" spans="1:25" s="223" customFormat="1" ht="20.25">
      <c r="A1098" s="291"/>
      <c r="B1098" s="292" t="str">
        <f>IF(LEN(A1098)=0,"",INDEX('Smelter Reference List'!$A:$A,MATCH($A1098,'Smelter Reference List'!$E:$E,0)))</f>
        <v/>
      </c>
      <c r="C1098" s="298" t="str">
        <f>IF(LEN(A1098)=0,"",INDEX('Smelter Reference List'!$C:$C,MATCH($A1098,'Smelter Reference List'!$E:$E,0)))</f>
        <v/>
      </c>
      <c r="D1098" s="292" t="str">
        <f ca="1">IF(ISERROR($S1098),"",OFFSET('Smelter Reference List'!$C$4,$S1098-4,0)&amp;"")</f>
        <v/>
      </c>
      <c r="E1098" s="292" t="str">
        <f ca="1">IF(ISERROR($S1098),"",OFFSET('Smelter Reference List'!$D$4,$S1098-4,0)&amp;"")</f>
        <v/>
      </c>
      <c r="F1098" s="292" t="str">
        <f ca="1">IF(ISERROR($S1098),"",OFFSET('Smelter Reference List'!$E$4,$S1098-4,0))</f>
        <v/>
      </c>
      <c r="G1098" s="292" t="str">
        <f ca="1">IF(C1098=$U$4,"Enter smelter details", IF(ISERROR($S1098),"",OFFSET('Smelter Reference List'!$F$4,$S1098-4,0)))</f>
        <v/>
      </c>
      <c r="H1098" s="293" t="str">
        <f ca="1">IF(ISERROR($S1098),"",OFFSET('Smelter Reference List'!$G$4,$S1098-4,0))</f>
        <v/>
      </c>
      <c r="I1098" s="294" t="str">
        <f ca="1">IF(ISERROR($S1098),"",OFFSET('Smelter Reference List'!$H$4,$S1098-4,0))</f>
        <v/>
      </c>
      <c r="J1098" s="294" t="str">
        <f ca="1">IF(ISERROR($S1098),"",OFFSET('Smelter Reference List'!$I$4,$S1098-4,0))</f>
        <v/>
      </c>
      <c r="K1098" s="295"/>
      <c r="L1098" s="295"/>
      <c r="M1098" s="295"/>
      <c r="N1098" s="295"/>
      <c r="O1098" s="295"/>
      <c r="P1098" s="295"/>
      <c r="Q1098" s="296"/>
      <c r="R1098" s="227"/>
      <c r="S1098" s="228" t="e">
        <f>IF(C1098="",NA(),MATCH($B1098&amp;$C1098,'Smelter Reference List'!$J:$J,0))</f>
        <v>#N/A</v>
      </c>
      <c r="T1098" s="229"/>
      <c r="U1098" s="229">
        <f t="shared" ca="1" si="36"/>
        <v>0</v>
      </c>
      <c r="V1098" s="229"/>
      <c r="W1098" s="229"/>
      <c r="Y1098" s="223" t="str">
        <f t="shared" si="37"/>
        <v/>
      </c>
    </row>
    <row r="1099" spans="1:25" s="223" customFormat="1" ht="20.25">
      <c r="A1099" s="291"/>
      <c r="B1099" s="292" t="str">
        <f>IF(LEN(A1099)=0,"",INDEX('Smelter Reference List'!$A:$A,MATCH($A1099,'Smelter Reference List'!$E:$E,0)))</f>
        <v/>
      </c>
      <c r="C1099" s="298" t="str">
        <f>IF(LEN(A1099)=0,"",INDEX('Smelter Reference List'!$C:$C,MATCH($A1099,'Smelter Reference List'!$E:$E,0)))</f>
        <v/>
      </c>
      <c r="D1099" s="292" t="str">
        <f ca="1">IF(ISERROR($S1099),"",OFFSET('Smelter Reference List'!$C$4,$S1099-4,0)&amp;"")</f>
        <v/>
      </c>
      <c r="E1099" s="292" t="str">
        <f ca="1">IF(ISERROR($S1099),"",OFFSET('Smelter Reference List'!$D$4,$S1099-4,0)&amp;"")</f>
        <v/>
      </c>
      <c r="F1099" s="292" t="str">
        <f ca="1">IF(ISERROR($S1099),"",OFFSET('Smelter Reference List'!$E$4,$S1099-4,0))</f>
        <v/>
      </c>
      <c r="G1099" s="292" t="str">
        <f ca="1">IF(C1099=$U$4,"Enter smelter details", IF(ISERROR($S1099),"",OFFSET('Smelter Reference List'!$F$4,$S1099-4,0)))</f>
        <v/>
      </c>
      <c r="H1099" s="293" t="str">
        <f ca="1">IF(ISERROR($S1099),"",OFFSET('Smelter Reference List'!$G$4,$S1099-4,0))</f>
        <v/>
      </c>
      <c r="I1099" s="294" t="str">
        <f ca="1">IF(ISERROR($S1099),"",OFFSET('Smelter Reference List'!$H$4,$S1099-4,0))</f>
        <v/>
      </c>
      <c r="J1099" s="294" t="str">
        <f ca="1">IF(ISERROR($S1099),"",OFFSET('Smelter Reference List'!$I$4,$S1099-4,0))</f>
        <v/>
      </c>
      <c r="K1099" s="295"/>
      <c r="L1099" s="295"/>
      <c r="M1099" s="295"/>
      <c r="N1099" s="295"/>
      <c r="O1099" s="295"/>
      <c r="P1099" s="295"/>
      <c r="Q1099" s="296"/>
      <c r="R1099" s="227"/>
      <c r="S1099" s="228" t="e">
        <f>IF(C1099="",NA(),MATCH($B1099&amp;$C1099,'Smelter Reference List'!$J:$J,0))</f>
        <v>#N/A</v>
      </c>
      <c r="T1099" s="229"/>
      <c r="U1099" s="229">
        <f t="shared" ca="1" si="36"/>
        <v>0</v>
      </c>
      <c r="V1099" s="229"/>
      <c r="W1099" s="229"/>
      <c r="Y1099" s="223" t="str">
        <f t="shared" si="37"/>
        <v/>
      </c>
    </row>
    <row r="1100" spans="1:25" s="223" customFormat="1" ht="20.25">
      <c r="A1100" s="291"/>
      <c r="B1100" s="292" t="str">
        <f>IF(LEN(A1100)=0,"",INDEX('Smelter Reference List'!$A:$A,MATCH($A1100,'Smelter Reference List'!$E:$E,0)))</f>
        <v/>
      </c>
      <c r="C1100" s="298" t="str">
        <f>IF(LEN(A1100)=0,"",INDEX('Smelter Reference List'!$C:$C,MATCH($A1100,'Smelter Reference List'!$E:$E,0)))</f>
        <v/>
      </c>
      <c r="D1100" s="292" t="str">
        <f ca="1">IF(ISERROR($S1100),"",OFFSET('Smelter Reference List'!$C$4,$S1100-4,0)&amp;"")</f>
        <v/>
      </c>
      <c r="E1100" s="292" t="str">
        <f ca="1">IF(ISERROR($S1100),"",OFFSET('Smelter Reference List'!$D$4,$S1100-4,0)&amp;"")</f>
        <v/>
      </c>
      <c r="F1100" s="292" t="str">
        <f ca="1">IF(ISERROR($S1100),"",OFFSET('Smelter Reference List'!$E$4,$S1100-4,0))</f>
        <v/>
      </c>
      <c r="G1100" s="292" t="str">
        <f ca="1">IF(C1100=$U$4,"Enter smelter details", IF(ISERROR($S1100),"",OFFSET('Smelter Reference List'!$F$4,$S1100-4,0)))</f>
        <v/>
      </c>
      <c r="H1100" s="293" t="str">
        <f ca="1">IF(ISERROR($S1100),"",OFFSET('Smelter Reference List'!$G$4,$S1100-4,0))</f>
        <v/>
      </c>
      <c r="I1100" s="294" t="str">
        <f ca="1">IF(ISERROR($S1100),"",OFFSET('Smelter Reference List'!$H$4,$S1100-4,0))</f>
        <v/>
      </c>
      <c r="J1100" s="294" t="str">
        <f ca="1">IF(ISERROR($S1100),"",OFFSET('Smelter Reference List'!$I$4,$S1100-4,0))</f>
        <v/>
      </c>
      <c r="K1100" s="295"/>
      <c r="L1100" s="295"/>
      <c r="M1100" s="295"/>
      <c r="N1100" s="295"/>
      <c r="O1100" s="295"/>
      <c r="P1100" s="295"/>
      <c r="Q1100" s="296"/>
      <c r="R1100" s="227"/>
      <c r="S1100" s="228" t="e">
        <f>IF(C1100="",NA(),MATCH($B1100&amp;$C1100,'Smelter Reference List'!$J:$J,0))</f>
        <v>#N/A</v>
      </c>
      <c r="T1100" s="229"/>
      <c r="U1100" s="229">
        <f t="shared" ca="1" si="36"/>
        <v>0</v>
      </c>
      <c r="V1100" s="229"/>
      <c r="W1100" s="229"/>
      <c r="Y1100" s="223" t="str">
        <f t="shared" si="37"/>
        <v/>
      </c>
    </row>
    <row r="1101" spans="1:25" s="223" customFormat="1" ht="20.25">
      <c r="A1101" s="291"/>
      <c r="B1101" s="292" t="str">
        <f>IF(LEN(A1101)=0,"",INDEX('Smelter Reference List'!$A:$A,MATCH($A1101,'Smelter Reference List'!$E:$E,0)))</f>
        <v/>
      </c>
      <c r="C1101" s="298" t="str">
        <f>IF(LEN(A1101)=0,"",INDEX('Smelter Reference List'!$C:$C,MATCH($A1101,'Smelter Reference List'!$E:$E,0)))</f>
        <v/>
      </c>
      <c r="D1101" s="292" t="str">
        <f ca="1">IF(ISERROR($S1101),"",OFFSET('Smelter Reference List'!$C$4,$S1101-4,0)&amp;"")</f>
        <v/>
      </c>
      <c r="E1101" s="292" t="str">
        <f ca="1">IF(ISERROR($S1101),"",OFFSET('Smelter Reference List'!$D$4,$S1101-4,0)&amp;"")</f>
        <v/>
      </c>
      <c r="F1101" s="292" t="str">
        <f ca="1">IF(ISERROR($S1101),"",OFFSET('Smelter Reference List'!$E$4,$S1101-4,0))</f>
        <v/>
      </c>
      <c r="G1101" s="292" t="str">
        <f ca="1">IF(C1101=$U$4,"Enter smelter details", IF(ISERROR($S1101),"",OFFSET('Smelter Reference List'!$F$4,$S1101-4,0)))</f>
        <v/>
      </c>
      <c r="H1101" s="293" t="str">
        <f ca="1">IF(ISERROR($S1101),"",OFFSET('Smelter Reference List'!$G$4,$S1101-4,0))</f>
        <v/>
      </c>
      <c r="I1101" s="294" t="str">
        <f ca="1">IF(ISERROR($S1101),"",OFFSET('Smelter Reference List'!$H$4,$S1101-4,0))</f>
        <v/>
      </c>
      <c r="J1101" s="294" t="str">
        <f ca="1">IF(ISERROR($S1101),"",OFFSET('Smelter Reference List'!$I$4,$S1101-4,0))</f>
        <v/>
      </c>
      <c r="K1101" s="295"/>
      <c r="L1101" s="295"/>
      <c r="M1101" s="295"/>
      <c r="N1101" s="295"/>
      <c r="O1101" s="295"/>
      <c r="P1101" s="295"/>
      <c r="Q1101" s="296"/>
      <c r="R1101" s="227"/>
      <c r="S1101" s="228" t="e">
        <f>IF(C1101="",NA(),MATCH($B1101&amp;$C1101,'Smelter Reference List'!$J:$J,0))</f>
        <v>#N/A</v>
      </c>
      <c r="T1101" s="229"/>
      <c r="U1101" s="229">
        <f t="shared" ca="1" si="36"/>
        <v>0</v>
      </c>
      <c r="V1101" s="229"/>
      <c r="W1101" s="229"/>
      <c r="Y1101" s="223" t="str">
        <f t="shared" si="37"/>
        <v/>
      </c>
    </row>
    <row r="1102" spans="1:25" s="223" customFormat="1" ht="20.25">
      <c r="A1102" s="291"/>
      <c r="B1102" s="292" t="str">
        <f>IF(LEN(A1102)=0,"",INDEX('Smelter Reference List'!$A:$A,MATCH($A1102,'Smelter Reference List'!$E:$E,0)))</f>
        <v/>
      </c>
      <c r="C1102" s="298" t="str">
        <f>IF(LEN(A1102)=0,"",INDEX('Smelter Reference List'!$C:$C,MATCH($A1102,'Smelter Reference List'!$E:$E,0)))</f>
        <v/>
      </c>
      <c r="D1102" s="292" t="str">
        <f ca="1">IF(ISERROR($S1102),"",OFFSET('Smelter Reference List'!$C$4,$S1102-4,0)&amp;"")</f>
        <v/>
      </c>
      <c r="E1102" s="292" t="str">
        <f ca="1">IF(ISERROR($S1102),"",OFFSET('Smelter Reference List'!$D$4,$S1102-4,0)&amp;"")</f>
        <v/>
      </c>
      <c r="F1102" s="292" t="str">
        <f ca="1">IF(ISERROR($S1102),"",OFFSET('Smelter Reference List'!$E$4,$S1102-4,0))</f>
        <v/>
      </c>
      <c r="G1102" s="292" t="str">
        <f ca="1">IF(C1102=$U$4,"Enter smelter details", IF(ISERROR($S1102),"",OFFSET('Smelter Reference List'!$F$4,$S1102-4,0)))</f>
        <v/>
      </c>
      <c r="H1102" s="293" t="str">
        <f ca="1">IF(ISERROR($S1102),"",OFFSET('Smelter Reference List'!$G$4,$S1102-4,0))</f>
        <v/>
      </c>
      <c r="I1102" s="294" t="str">
        <f ca="1">IF(ISERROR($S1102),"",OFFSET('Smelter Reference List'!$H$4,$S1102-4,0))</f>
        <v/>
      </c>
      <c r="J1102" s="294" t="str">
        <f ca="1">IF(ISERROR($S1102),"",OFFSET('Smelter Reference List'!$I$4,$S1102-4,0))</f>
        <v/>
      </c>
      <c r="K1102" s="295"/>
      <c r="L1102" s="295"/>
      <c r="M1102" s="295"/>
      <c r="N1102" s="295"/>
      <c r="O1102" s="295"/>
      <c r="P1102" s="295"/>
      <c r="Q1102" s="296"/>
      <c r="R1102" s="227"/>
      <c r="S1102" s="228" t="e">
        <f>IF(C1102="",NA(),MATCH($B1102&amp;$C1102,'Smelter Reference List'!$J:$J,0))</f>
        <v>#N/A</v>
      </c>
      <c r="T1102" s="229"/>
      <c r="U1102" s="229">
        <f t="shared" ca="1" si="36"/>
        <v>0</v>
      </c>
      <c r="V1102" s="229"/>
      <c r="W1102" s="229"/>
      <c r="Y1102" s="223" t="str">
        <f t="shared" si="37"/>
        <v/>
      </c>
    </row>
    <row r="1103" spans="1:25" s="223" customFormat="1" ht="20.25">
      <c r="A1103" s="291"/>
      <c r="B1103" s="292" t="str">
        <f>IF(LEN(A1103)=0,"",INDEX('Smelter Reference List'!$A:$A,MATCH($A1103,'Smelter Reference List'!$E:$E,0)))</f>
        <v/>
      </c>
      <c r="C1103" s="298" t="str">
        <f>IF(LEN(A1103)=0,"",INDEX('Smelter Reference List'!$C:$C,MATCH($A1103,'Smelter Reference List'!$E:$E,0)))</f>
        <v/>
      </c>
      <c r="D1103" s="292" t="str">
        <f ca="1">IF(ISERROR($S1103),"",OFFSET('Smelter Reference List'!$C$4,$S1103-4,0)&amp;"")</f>
        <v/>
      </c>
      <c r="E1103" s="292" t="str">
        <f ca="1">IF(ISERROR($S1103),"",OFFSET('Smelter Reference List'!$D$4,$S1103-4,0)&amp;"")</f>
        <v/>
      </c>
      <c r="F1103" s="292" t="str">
        <f ca="1">IF(ISERROR($S1103),"",OFFSET('Smelter Reference List'!$E$4,$S1103-4,0))</f>
        <v/>
      </c>
      <c r="G1103" s="292" t="str">
        <f ca="1">IF(C1103=$U$4,"Enter smelter details", IF(ISERROR($S1103),"",OFFSET('Smelter Reference List'!$F$4,$S1103-4,0)))</f>
        <v/>
      </c>
      <c r="H1103" s="293" t="str">
        <f ca="1">IF(ISERROR($S1103),"",OFFSET('Smelter Reference List'!$G$4,$S1103-4,0))</f>
        <v/>
      </c>
      <c r="I1103" s="294" t="str">
        <f ca="1">IF(ISERROR($S1103),"",OFFSET('Smelter Reference List'!$H$4,$S1103-4,0))</f>
        <v/>
      </c>
      <c r="J1103" s="294" t="str">
        <f ca="1">IF(ISERROR($S1103),"",OFFSET('Smelter Reference List'!$I$4,$S1103-4,0))</f>
        <v/>
      </c>
      <c r="K1103" s="295"/>
      <c r="L1103" s="295"/>
      <c r="M1103" s="295"/>
      <c r="N1103" s="295"/>
      <c r="O1103" s="295"/>
      <c r="P1103" s="295"/>
      <c r="Q1103" s="296"/>
      <c r="R1103" s="227"/>
      <c r="S1103" s="228" t="e">
        <f>IF(C1103="",NA(),MATCH($B1103&amp;$C1103,'Smelter Reference List'!$J:$J,0))</f>
        <v>#N/A</v>
      </c>
      <c r="T1103" s="229"/>
      <c r="U1103" s="229">
        <f t="shared" ca="1" si="36"/>
        <v>0</v>
      </c>
      <c r="V1103" s="229"/>
      <c r="W1103" s="229"/>
      <c r="Y1103" s="223" t="str">
        <f t="shared" si="37"/>
        <v/>
      </c>
    </row>
    <row r="1104" spans="1:25" s="223" customFormat="1" ht="20.25">
      <c r="A1104" s="291"/>
      <c r="B1104" s="292" t="str">
        <f>IF(LEN(A1104)=0,"",INDEX('Smelter Reference List'!$A:$A,MATCH($A1104,'Smelter Reference List'!$E:$E,0)))</f>
        <v/>
      </c>
      <c r="C1104" s="298" t="str">
        <f>IF(LEN(A1104)=0,"",INDEX('Smelter Reference List'!$C:$C,MATCH($A1104,'Smelter Reference List'!$E:$E,0)))</f>
        <v/>
      </c>
      <c r="D1104" s="292" t="str">
        <f ca="1">IF(ISERROR($S1104),"",OFFSET('Smelter Reference List'!$C$4,$S1104-4,0)&amp;"")</f>
        <v/>
      </c>
      <c r="E1104" s="292" t="str">
        <f ca="1">IF(ISERROR($S1104),"",OFFSET('Smelter Reference List'!$D$4,$S1104-4,0)&amp;"")</f>
        <v/>
      </c>
      <c r="F1104" s="292" t="str">
        <f ca="1">IF(ISERROR($S1104),"",OFFSET('Smelter Reference List'!$E$4,$S1104-4,0))</f>
        <v/>
      </c>
      <c r="G1104" s="292" t="str">
        <f ca="1">IF(C1104=$U$4,"Enter smelter details", IF(ISERROR($S1104),"",OFFSET('Smelter Reference List'!$F$4,$S1104-4,0)))</f>
        <v/>
      </c>
      <c r="H1104" s="293" t="str">
        <f ca="1">IF(ISERROR($S1104),"",OFFSET('Smelter Reference List'!$G$4,$S1104-4,0))</f>
        <v/>
      </c>
      <c r="I1104" s="294" t="str">
        <f ca="1">IF(ISERROR($S1104),"",OFFSET('Smelter Reference List'!$H$4,$S1104-4,0))</f>
        <v/>
      </c>
      <c r="J1104" s="294" t="str">
        <f ca="1">IF(ISERROR($S1104),"",OFFSET('Smelter Reference List'!$I$4,$S1104-4,0))</f>
        <v/>
      </c>
      <c r="K1104" s="295"/>
      <c r="L1104" s="295"/>
      <c r="M1104" s="295"/>
      <c r="N1104" s="295"/>
      <c r="O1104" s="295"/>
      <c r="P1104" s="295"/>
      <c r="Q1104" s="296"/>
      <c r="R1104" s="227"/>
      <c r="S1104" s="228" t="e">
        <f>IF(C1104="",NA(),MATCH($B1104&amp;$C1104,'Smelter Reference List'!$J:$J,0))</f>
        <v>#N/A</v>
      </c>
      <c r="T1104" s="229"/>
      <c r="U1104" s="229">
        <f t="shared" ca="1" si="36"/>
        <v>0</v>
      </c>
      <c r="V1104" s="229"/>
      <c r="W1104" s="229"/>
      <c r="Y1104" s="223" t="str">
        <f t="shared" si="37"/>
        <v/>
      </c>
    </row>
    <row r="1105" spans="1:25" s="223" customFormat="1" ht="20.25">
      <c r="A1105" s="291"/>
      <c r="B1105" s="292" t="str">
        <f>IF(LEN(A1105)=0,"",INDEX('Smelter Reference List'!$A:$A,MATCH($A1105,'Smelter Reference List'!$E:$E,0)))</f>
        <v/>
      </c>
      <c r="C1105" s="298" t="str">
        <f>IF(LEN(A1105)=0,"",INDEX('Smelter Reference List'!$C:$C,MATCH($A1105,'Smelter Reference List'!$E:$E,0)))</f>
        <v/>
      </c>
      <c r="D1105" s="292" t="str">
        <f ca="1">IF(ISERROR($S1105),"",OFFSET('Smelter Reference List'!$C$4,$S1105-4,0)&amp;"")</f>
        <v/>
      </c>
      <c r="E1105" s="292" t="str">
        <f ca="1">IF(ISERROR($S1105),"",OFFSET('Smelter Reference List'!$D$4,$S1105-4,0)&amp;"")</f>
        <v/>
      </c>
      <c r="F1105" s="292" t="str">
        <f ca="1">IF(ISERROR($S1105),"",OFFSET('Smelter Reference List'!$E$4,$S1105-4,0))</f>
        <v/>
      </c>
      <c r="G1105" s="292" t="str">
        <f ca="1">IF(C1105=$U$4,"Enter smelter details", IF(ISERROR($S1105),"",OFFSET('Smelter Reference List'!$F$4,$S1105-4,0)))</f>
        <v/>
      </c>
      <c r="H1105" s="293" t="str">
        <f ca="1">IF(ISERROR($S1105),"",OFFSET('Smelter Reference List'!$G$4,$S1105-4,0))</f>
        <v/>
      </c>
      <c r="I1105" s="294" t="str">
        <f ca="1">IF(ISERROR($S1105),"",OFFSET('Smelter Reference List'!$H$4,$S1105-4,0))</f>
        <v/>
      </c>
      <c r="J1105" s="294" t="str">
        <f ca="1">IF(ISERROR($S1105),"",OFFSET('Smelter Reference List'!$I$4,$S1105-4,0))</f>
        <v/>
      </c>
      <c r="K1105" s="295"/>
      <c r="L1105" s="295"/>
      <c r="M1105" s="295"/>
      <c r="N1105" s="295"/>
      <c r="O1105" s="295"/>
      <c r="P1105" s="295"/>
      <c r="Q1105" s="296"/>
      <c r="R1105" s="227"/>
      <c r="S1105" s="228" t="e">
        <f>IF(C1105="",NA(),MATCH($B1105&amp;$C1105,'Smelter Reference List'!$J:$J,0))</f>
        <v>#N/A</v>
      </c>
      <c r="T1105" s="229"/>
      <c r="U1105" s="229">
        <f t="shared" ca="1" si="36"/>
        <v>0</v>
      </c>
      <c r="V1105" s="229"/>
      <c r="W1105" s="229"/>
      <c r="Y1105" s="223" t="str">
        <f t="shared" si="37"/>
        <v/>
      </c>
    </row>
    <row r="1106" spans="1:25" s="223" customFormat="1" ht="20.25">
      <c r="A1106" s="291"/>
      <c r="B1106" s="292" t="str">
        <f>IF(LEN(A1106)=0,"",INDEX('Smelter Reference List'!$A:$A,MATCH($A1106,'Smelter Reference List'!$E:$E,0)))</f>
        <v/>
      </c>
      <c r="C1106" s="298" t="str">
        <f>IF(LEN(A1106)=0,"",INDEX('Smelter Reference List'!$C:$C,MATCH($A1106,'Smelter Reference List'!$E:$E,0)))</f>
        <v/>
      </c>
      <c r="D1106" s="292" t="str">
        <f ca="1">IF(ISERROR($S1106),"",OFFSET('Smelter Reference List'!$C$4,$S1106-4,0)&amp;"")</f>
        <v/>
      </c>
      <c r="E1106" s="292" t="str">
        <f ca="1">IF(ISERROR($S1106),"",OFFSET('Smelter Reference List'!$D$4,$S1106-4,0)&amp;"")</f>
        <v/>
      </c>
      <c r="F1106" s="292" t="str">
        <f ca="1">IF(ISERROR($S1106),"",OFFSET('Smelter Reference List'!$E$4,$S1106-4,0))</f>
        <v/>
      </c>
      <c r="G1106" s="292" t="str">
        <f ca="1">IF(C1106=$U$4,"Enter smelter details", IF(ISERROR($S1106),"",OFFSET('Smelter Reference List'!$F$4,$S1106-4,0)))</f>
        <v/>
      </c>
      <c r="H1106" s="293" t="str">
        <f ca="1">IF(ISERROR($S1106),"",OFFSET('Smelter Reference List'!$G$4,$S1106-4,0))</f>
        <v/>
      </c>
      <c r="I1106" s="294" t="str">
        <f ca="1">IF(ISERROR($S1106),"",OFFSET('Smelter Reference List'!$H$4,$S1106-4,0))</f>
        <v/>
      </c>
      <c r="J1106" s="294" t="str">
        <f ca="1">IF(ISERROR($S1106),"",OFFSET('Smelter Reference List'!$I$4,$S1106-4,0))</f>
        <v/>
      </c>
      <c r="K1106" s="295"/>
      <c r="L1106" s="295"/>
      <c r="M1106" s="295"/>
      <c r="N1106" s="295"/>
      <c r="O1106" s="295"/>
      <c r="P1106" s="295"/>
      <c r="Q1106" s="296"/>
      <c r="R1106" s="227"/>
      <c r="S1106" s="228" t="e">
        <f>IF(C1106="",NA(),MATCH($B1106&amp;$C1106,'Smelter Reference List'!$J:$J,0))</f>
        <v>#N/A</v>
      </c>
      <c r="T1106" s="229"/>
      <c r="U1106" s="229">
        <f t="shared" ca="1" si="36"/>
        <v>0</v>
      </c>
      <c r="V1106" s="229"/>
      <c r="W1106" s="229"/>
      <c r="Y1106" s="223" t="str">
        <f t="shared" si="37"/>
        <v/>
      </c>
    </row>
    <row r="1107" spans="1:25" s="223" customFormat="1" ht="20.25">
      <c r="A1107" s="291"/>
      <c r="B1107" s="292" t="str">
        <f>IF(LEN(A1107)=0,"",INDEX('Smelter Reference List'!$A:$A,MATCH($A1107,'Smelter Reference List'!$E:$E,0)))</f>
        <v/>
      </c>
      <c r="C1107" s="298" t="str">
        <f>IF(LEN(A1107)=0,"",INDEX('Smelter Reference List'!$C:$C,MATCH($A1107,'Smelter Reference List'!$E:$E,0)))</f>
        <v/>
      </c>
      <c r="D1107" s="292" t="str">
        <f ca="1">IF(ISERROR($S1107),"",OFFSET('Smelter Reference List'!$C$4,$S1107-4,0)&amp;"")</f>
        <v/>
      </c>
      <c r="E1107" s="292" t="str">
        <f ca="1">IF(ISERROR($S1107),"",OFFSET('Smelter Reference List'!$D$4,$S1107-4,0)&amp;"")</f>
        <v/>
      </c>
      <c r="F1107" s="292" t="str">
        <f ca="1">IF(ISERROR($S1107),"",OFFSET('Smelter Reference List'!$E$4,$S1107-4,0))</f>
        <v/>
      </c>
      <c r="G1107" s="292" t="str">
        <f ca="1">IF(C1107=$U$4,"Enter smelter details", IF(ISERROR($S1107),"",OFFSET('Smelter Reference List'!$F$4,$S1107-4,0)))</f>
        <v/>
      </c>
      <c r="H1107" s="293" t="str">
        <f ca="1">IF(ISERROR($S1107),"",OFFSET('Smelter Reference List'!$G$4,$S1107-4,0))</f>
        <v/>
      </c>
      <c r="I1107" s="294" t="str">
        <f ca="1">IF(ISERROR($S1107),"",OFFSET('Smelter Reference List'!$H$4,$S1107-4,0))</f>
        <v/>
      </c>
      <c r="J1107" s="294" t="str">
        <f ca="1">IF(ISERROR($S1107),"",OFFSET('Smelter Reference List'!$I$4,$S1107-4,0))</f>
        <v/>
      </c>
      <c r="K1107" s="295"/>
      <c r="L1107" s="295"/>
      <c r="M1107" s="295"/>
      <c r="N1107" s="295"/>
      <c r="O1107" s="295"/>
      <c r="P1107" s="295"/>
      <c r="Q1107" s="296"/>
      <c r="R1107" s="227"/>
      <c r="S1107" s="228" t="e">
        <f>IF(C1107="",NA(),MATCH($B1107&amp;$C1107,'Smelter Reference List'!$J:$J,0))</f>
        <v>#N/A</v>
      </c>
      <c r="T1107" s="229"/>
      <c r="U1107" s="229">
        <f t="shared" ca="1" si="36"/>
        <v>0</v>
      </c>
      <c r="V1107" s="229"/>
      <c r="W1107" s="229"/>
      <c r="Y1107" s="223" t="str">
        <f t="shared" si="37"/>
        <v/>
      </c>
    </row>
    <row r="1108" spans="1:25" s="223" customFormat="1" ht="20.25">
      <c r="A1108" s="291"/>
      <c r="B1108" s="292" t="str">
        <f>IF(LEN(A1108)=0,"",INDEX('Smelter Reference List'!$A:$A,MATCH($A1108,'Smelter Reference List'!$E:$E,0)))</f>
        <v/>
      </c>
      <c r="C1108" s="298" t="str">
        <f>IF(LEN(A1108)=0,"",INDEX('Smelter Reference List'!$C:$C,MATCH($A1108,'Smelter Reference List'!$E:$E,0)))</f>
        <v/>
      </c>
      <c r="D1108" s="292" t="str">
        <f ca="1">IF(ISERROR($S1108),"",OFFSET('Smelter Reference List'!$C$4,$S1108-4,0)&amp;"")</f>
        <v/>
      </c>
      <c r="E1108" s="292" t="str">
        <f ca="1">IF(ISERROR($S1108),"",OFFSET('Smelter Reference List'!$D$4,$S1108-4,0)&amp;"")</f>
        <v/>
      </c>
      <c r="F1108" s="292" t="str">
        <f ca="1">IF(ISERROR($S1108),"",OFFSET('Smelter Reference List'!$E$4,$S1108-4,0))</f>
        <v/>
      </c>
      <c r="G1108" s="292" t="str">
        <f ca="1">IF(C1108=$U$4,"Enter smelter details", IF(ISERROR($S1108),"",OFFSET('Smelter Reference List'!$F$4,$S1108-4,0)))</f>
        <v/>
      </c>
      <c r="H1108" s="293" t="str">
        <f ca="1">IF(ISERROR($S1108),"",OFFSET('Smelter Reference List'!$G$4,$S1108-4,0))</f>
        <v/>
      </c>
      <c r="I1108" s="294" t="str">
        <f ca="1">IF(ISERROR($S1108),"",OFFSET('Smelter Reference List'!$H$4,$S1108-4,0))</f>
        <v/>
      </c>
      <c r="J1108" s="294" t="str">
        <f ca="1">IF(ISERROR($S1108),"",OFFSET('Smelter Reference List'!$I$4,$S1108-4,0))</f>
        <v/>
      </c>
      <c r="K1108" s="295"/>
      <c r="L1108" s="295"/>
      <c r="M1108" s="295"/>
      <c r="N1108" s="295"/>
      <c r="O1108" s="295"/>
      <c r="P1108" s="295"/>
      <c r="Q1108" s="296"/>
      <c r="R1108" s="227"/>
      <c r="S1108" s="228" t="e">
        <f>IF(C1108="",NA(),MATCH($B1108&amp;$C1108,'Smelter Reference List'!$J:$J,0))</f>
        <v>#N/A</v>
      </c>
      <c r="T1108" s="229"/>
      <c r="U1108" s="229">
        <f t="shared" ca="1" si="36"/>
        <v>0</v>
      </c>
      <c r="V1108" s="229"/>
      <c r="W1108" s="229"/>
      <c r="Y1108" s="223" t="str">
        <f t="shared" si="37"/>
        <v/>
      </c>
    </row>
    <row r="1109" spans="1:25" s="223" customFormat="1" ht="20.25">
      <c r="A1109" s="291"/>
      <c r="B1109" s="292" t="str">
        <f>IF(LEN(A1109)=0,"",INDEX('Smelter Reference List'!$A:$A,MATCH($A1109,'Smelter Reference List'!$E:$E,0)))</f>
        <v/>
      </c>
      <c r="C1109" s="298" t="str">
        <f>IF(LEN(A1109)=0,"",INDEX('Smelter Reference List'!$C:$C,MATCH($A1109,'Smelter Reference List'!$E:$E,0)))</f>
        <v/>
      </c>
      <c r="D1109" s="292" t="str">
        <f ca="1">IF(ISERROR($S1109),"",OFFSET('Smelter Reference List'!$C$4,$S1109-4,0)&amp;"")</f>
        <v/>
      </c>
      <c r="E1109" s="292" t="str">
        <f ca="1">IF(ISERROR($S1109),"",OFFSET('Smelter Reference List'!$D$4,$S1109-4,0)&amp;"")</f>
        <v/>
      </c>
      <c r="F1109" s="292" t="str">
        <f ca="1">IF(ISERROR($S1109),"",OFFSET('Smelter Reference List'!$E$4,$S1109-4,0))</f>
        <v/>
      </c>
      <c r="G1109" s="292" t="str">
        <f ca="1">IF(C1109=$U$4,"Enter smelter details", IF(ISERROR($S1109),"",OFFSET('Smelter Reference List'!$F$4,$S1109-4,0)))</f>
        <v/>
      </c>
      <c r="H1109" s="293" t="str">
        <f ca="1">IF(ISERROR($S1109),"",OFFSET('Smelter Reference List'!$G$4,$S1109-4,0))</f>
        <v/>
      </c>
      <c r="I1109" s="294" t="str">
        <f ca="1">IF(ISERROR($S1109),"",OFFSET('Smelter Reference List'!$H$4,$S1109-4,0))</f>
        <v/>
      </c>
      <c r="J1109" s="294" t="str">
        <f ca="1">IF(ISERROR($S1109),"",OFFSET('Smelter Reference List'!$I$4,$S1109-4,0))</f>
        <v/>
      </c>
      <c r="K1109" s="295"/>
      <c r="L1109" s="295"/>
      <c r="M1109" s="295"/>
      <c r="N1109" s="295"/>
      <c r="O1109" s="295"/>
      <c r="P1109" s="295"/>
      <c r="Q1109" s="296"/>
      <c r="R1109" s="227"/>
      <c r="S1109" s="228" t="e">
        <f>IF(C1109="",NA(),MATCH($B1109&amp;$C1109,'Smelter Reference List'!$J:$J,0))</f>
        <v>#N/A</v>
      </c>
      <c r="T1109" s="229"/>
      <c r="U1109" s="229">
        <f t="shared" ca="1" si="36"/>
        <v>0</v>
      </c>
      <c r="V1109" s="229"/>
      <c r="W1109" s="229"/>
      <c r="Y1109" s="223" t="str">
        <f t="shared" si="37"/>
        <v/>
      </c>
    </row>
    <row r="1110" spans="1:25" s="223" customFormat="1" ht="20.25">
      <c r="A1110" s="291"/>
      <c r="B1110" s="292" t="str">
        <f>IF(LEN(A1110)=0,"",INDEX('Smelter Reference List'!$A:$A,MATCH($A1110,'Smelter Reference List'!$E:$E,0)))</f>
        <v/>
      </c>
      <c r="C1110" s="298" t="str">
        <f>IF(LEN(A1110)=0,"",INDEX('Smelter Reference List'!$C:$C,MATCH($A1110,'Smelter Reference List'!$E:$E,0)))</f>
        <v/>
      </c>
      <c r="D1110" s="292" t="str">
        <f ca="1">IF(ISERROR($S1110),"",OFFSET('Smelter Reference List'!$C$4,$S1110-4,0)&amp;"")</f>
        <v/>
      </c>
      <c r="E1110" s="292" t="str">
        <f ca="1">IF(ISERROR($S1110),"",OFFSET('Smelter Reference List'!$D$4,$S1110-4,0)&amp;"")</f>
        <v/>
      </c>
      <c r="F1110" s="292" t="str">
        <f ca="1">IF(ISERROR($S1110),"",OFFSET('Smelter Reference List'!$E$4,$S1110-4,0))</f>
        <v/>
      </c>
      <c r="G1110" s="292" t="str">
        <f ca="1">IF(C1110=$U$4,"Enter smelter details", IF(ISERROR($S1110),"",OFFSET('Smelter Reference List'!$F$4,$S1110-4,0)))</f>
        <v/>
      </c>
      <c r="H1110" s="293" t="str">
        <f ca="1">IF(ISERROR($S1110),"",OFFSET('Smelter Reference List'!$G$4,$S1110-4,0))</f>
        <v/>
      </c>
      <c r="I1110" s="294" t="str">
        <f ca="1">IF(ISERROR($S1110),"",OFFSET('Smelter Reference List'!$H$4,$S1110-4,0))</f>
        <v/>
      </c>
      <c r="J1110" s="294" t="str">
        <f ca="1">IF(ISERROR($S1110),"",OFFSET('Smelter Reference List'!$I$4,$S1110-4,0))</f>
        <v/>
      </c>
      <c r="K1110" s="295"/>
      <c r="L1110" s="295"/>
      <c r="M1110" s="295"/>
      <c r="N1110" s="295"/>
      <c r="O1110" s="295"/>
      <c r="P1110" s="295"/>
      <c r="Q1110" s="296"/>
      <c r="R1110" s="227"/>
      <c r="S1110" s="228" t="e">
        <f>IF(C1110="",NA(),MATCH($B1110&amp;$C1110,'Smelter Reference List'!$J:$J,0))</f>
        <v>#N/A</v>
      </c>
      <c r="T1110" s="229"/>
      <c r="U1110" s="229">
        <f t="shared" ca="1" si="36"/>
        <v>0</v>
      </c>
      <c r="V1110" s="229"/>
      <c r="W1110" s="229"/>
      <c r="Y1110" s="223" t="str">
        <f t="shared" si="37"/>
        <v/>
      </c>
    </row>
    <row r="1111" spans="1:25" s="223" customFormat="1" ht="20.25">
      <c r="A1111" s="291"/>
      <c r="B1111" s="292" t="str">
        <f>IF(LEN(A1111)=0,"",INDEX('Smelter Reference List'!$A:$A,MATCH($A1111,'Smelter Reference List'!$E:$E,0)))</f>
        <v/>
      </c>
      <c r="C1111" s="298" t="str">
        <f>IF(LEN(A1111)=0,"",INDEX('Smelter Reference List'!$C:$C,MATCH($A1111,'Smelter Reference List'!$E:$E,0)))</f>
        <v/>
      </c>
      <c r="D1111" s="292" t="str">
        <f ca="1">IF(ISERROR($S1111),"",OFFSET('Smelter Reference List'!$C$4,$S1111-4,0)&amp;"")</f>
        <v/>
      </c>
      <c r="E1111" s="292" t="str">
        <f ca="1">IF(ISERROR($S1111),"",OFFSET('Smelter Reference List'!$D$4,$S1111-4,0)&amp;"")</f>
        <v/>
      </c>
      <c r="F1111" s="292" t="str">
        <f ca="1">IF(ISERROR($S1111),"",OFFSET('Smelter Reference List'!$E$4,$S1111-4,0))</f>
        <v/>
      </c>
      <c r="G1111" s="292" t="str">
        <f ca="1">IF(C1111=$U$4,"Enter smelter details", IF(ISERROR($S1111),"",OFFSET('Smelter Reference List'!$F$4,$S1111-4,0)))</f>
        <v/>
      </c>
      <c r="H1111" s="293" t="str">
        <f ca="1">IF(ISERROR($S1111),"",OFFSET('Smelter Reference List'!$G$4,$S1111-4,0))</f>
        <v/>
      </c>
      <c r="I1111" s="294" t="str">
        <f ca="1">IF(ISERROR($S1111),"",OFFSET('Smelter Reference List'!$H$4,$S1111-4,0))</f>
        <v/>
      </c>
      <c r="J1111" s="294" t="str">
        <f ca="1">IF(ISERROR($S1111),"",OFFSET('Smelter Reference List'!$I$4,$S1111-4,0))</f>
        <v/>
      </c>
      <c r="K1111" s="295"/>
      <c r="L1111" s="295"/>
      <c r="M1111" s="295"/>
      <c r="N1111" s="295"/>
      <c r="O1111" s="295"/>
      <c r="P1111" s="295"/>
      <c r="Q1111" s="296"/>
      <c r="R1111" s="227"/>
      <c r="S1111" s="228" t="e">
        <f>IF(C1111="",NA(),MATCH($B1111&amp;$C1111,'Smelter Reference List'!$J:$J,0))</f>
        <v>#N/A</v>
      </c>
      <c r="T1111" s="229"/>
      <c r="U1111" s="229">
        <f t="shared" ca="1" si="36"/>
        <v>0</v>
      </c>
      <c r="V1111" s="229"/>
      <c r="W1111" s="229"/>
      <c r="Y1111" s="223" t="str">
        <f t="shared" si="37"/>
        <v/>
      </c>
    </row>
    <row r="1112" spans="1:25" s="223" customFormat="1" ht="20.25">
      <c r="A1112" s="291"/>
      <c r="B1112" s="292" t="str">
        <f>IF(LEN(A1112)=0,"",INDEX('Smelter Reference List'!$A:$A,MATCH($A1112,'Smelter Reference List'!$E:$E,0)))</f>
        <v/>
      </c>
      <c r="C1112" s="298" t="str">
        <f>IF(LEN(A1112)=0,"",INDEX('Smelter Reference List'!$C:$C,MATCH($A1112,'Smelter Reference List'!$E:$E,0)))</f>
        <v/>
      </c>
      <c r="D1112" s="292" t="str">
        <f ca="1">IF(ISERROR($S1112),"",OFFSET('Smelter Reference List'!$C$4,$S1112-4,0)&amp;"")</f>
        <v/>
      </c>
      <c r="E1112" s="292" t="str">
        <f ca="1">IF(ISERROR($S1112),"",OFFSET('Smelter Reference List'!$D$4,$S1112-4,0)&amp;"")</f>
        <v/>
      </c>
      <c r="F1112" s="292" t="str">
        <f ca="1">IF(ISERROR($S1112),"",OFFSET('Smelter Reference List'!$E$4,$S1112-4,0))</f>
        <v/>
      </c>
      <c r="G1112" s="292" t="str">
        <f ca="1">IF(C1112=$U$4,"Enter smelter details", IF(ISERROR($S1112),"",OFFSET('Smelter Reference List'!$F$4,$S1112-4,0)))</f>
        <v/>
      </c>
      <c r="H1112" s="293" t="str">
        <f ca="1">IF(ISERROR($S1112),"",OFFSET('Smelter Reference List'!$G$4,$S1112-4,0))</f>
        <v/>
      </c>
      <c r="I1112" s="294" t="str">
        <f ca="1">IF(ISERROR($S1112),"",OFFSET('Smelter Reference List'!$H$4,$S1112-4,0))</f>
        <v/>
      </c>
      <c r="J1112" s="294" t="str">
        <f ca="1">IF(ISERROR($S1112),"",OFFSET('Smelter Reference List'!$I$4,$S1112-4,0))</f>
        <v/>
      </c>
      <c r="K1112" s="295"/>
      <c r="L1112" s="295"/>
      <c r="M1112" s="295"/>
      <c r="N1112" s="295"/>
      <c r="O1112" s="295"/>
      <c r="P1112" s="295"/>
      <c r="Q1112" s="296"/>
      <c r="R1112" s="227"/>
      <c r="S1112" s="228" t="e">
        <f>IF(C1112="",NA(),MATCH($B1112&amp;$C1112,'Smelter Reference List'!$J:$J,0))</f>
        <v>#N/A</v>
      </c>
      <c r="T1112" s="229"/>
      <c r="U1112" s="229">
        <f t="shared" ca="1" si="36"/>
        <v>0</v>
      </c>
      <c r="V1112" s="229"/>
      <c r="W1112" s="229"/>
      <c r="Y1112" s="223" t="str">
        <f t="shared" si="37"/>
        <v/>
      </c>
    </row>
    <row r="1113" spans="1:25" s="223" customFormat="1" ht="20.25">
      <c r="A1113" s="291"/>
      <c r="B1113" s="292" t="str">
        <f>IF(LEN(A1113)=0,"",INDEX('Smelter Reference List'!$A:$A,MATCH($A1113,'Smelter Reference List'!$E:$E,0)))</f>
        <v/>
      </c>
      <c r="C1113" s="298" t="str">
        <f>IF(LEN(A1113)=0,"",INDEX('Smelter Reference List'!$C:$C,MATCH($A1113,'Smelter Reference List'!$E:$E,0)))</f>
        <v/>
      </c>
      <c r="D1113" s="292" t="str">
        <f ca="1">IF(ISERROR($S1113),"",OFFSET('Smelter Reference List'!$C$4,$S1113-4,0)&amp;"")</f>
        <v/>
      </c>
      <c r="E1113" s="292" t="str">
        <f ca="1">IF(ISERROR($S1113),"",OFFSET('Smelter Reference List'!$D$4,$S1113-4,0)&amp;"")</f>
        <v/>
      </c>
      <c r="F1113" s="292" t="str">
        <f ca="1">IF(ISERROR($S1113),"",OFFSET('Smelter Reference List'!$E$4,$S1113-4,0))</f>
        <v/>
      </c>
      <c r="G1113" s="292" t="str">
        <f ca="1">IF(C1113=$U$4,"Enter smelter details", IF(ISERROR($S1113),"",OFFSET('Smelter Reference List'!$F$4,$S1113-4,0)))</f>
        <v/>
      </c>
      <c r="H1113" s="293" t="str">
        <f ca="1">IF(ISERROR($S1113),"",OFFSET('Smelter Reference List'!$G$4,$S1113-4,0))</f>
        <v/>
      </c>
      <c r="I1113" s="294" t="str">
        <f ca="1">IF(ISERROR($S1113),"",OFFSET('Smelter Reference List'!$H$4,$S1113-4,0))</f>
        <v/>
      </c>
      <c r="J1113" s="294" t="str">
        <f ca="1">IF(ISERROR($S1113),"",OFFSET('Smelter Reference List'!$I$4,$S1113-4,0))</f>
        <v/>
      </c>
      <c r="K1113" s="295"/>
      <c r="L1113" s="295"/>
      <c r="M1113" s="295"/>
      <c r="N1113" s="295"/>
      <c r="O1113" s="295"/>
      <c r="P1113" s="295"/>
      <c r="Q1113" s="296"/>
      <c r="R1113" s="227"/>
      <c r="S1113" s="228" t="e">
        <f>IF(C1113="",NA(),MATCH($B1113&amp;$C1113,'Smelter Reference List'!$J:$J,0))</f>
        <v>#N/A</v>
      </c>
      <c r="T1113" s="229"/>
      <c r="U1113" s="229">
        <f t="shared" ca="1" si="36"/>
        <v>0</v>
      </c>
      <c r="V1113" s="229"/>
      <c r="W1113" s="229"/>
      <c r="Y1113" s="223" t="str">
        <f t="shared" si="37"/>
        <v/>
      </c>
    </row>
    <row r="1114" spans="1:25" s="223" customFormat="1" ht="20.25">
      <c r="A1114" s="291"/>
      <c r="B1114" s="292" t="str">
        <f>IF(LEN(A1114)=0,"",INDEX('Smelter Reference List'!$A:$A,MATCH($A1114,'Smelter Reference List'!$E:$E,0)))</f>
        <v/>
      </c>
      <c r="C1114" s="298" t="str">
        <f>IF(LEN(A1114)=0,"",INDEX('Smelter Reference List'!$C:$C,MATCH($A1114,'Smelter Reference List'!$E:$E,0)))</f>
        <v/>
      </c>
      <c r="D1114" s="292" t="str">
        <f ca="1">IF(ISERROR($S1114),"",OFFSET('Smelter Reference List'!$C$4,$S1114-4,0)&amp;"")</f>
        <v/>
      </c>
      <c r="E1114" s="292" t="str">
        <f ca="1">IF(ISERROR($S1114),"",OFFSET('Smelter Reference List'!$D$4,$S1114-4,0)&amp;"")</f>
        <v/>
      </c>
      <c r="F1114" s="292" t="str">
        <f ca="1">IF(ISERROR($S1114),"",OFFSET('Smelter Reference List'!$E$4,$S1114-4,0))</f>
        <v/>
      </c>
      <c r="G1114" s="292" t="str">
        <f ca="1">IF(C1114=$U$4,"Enter smelter details", IF(ISERROR($S1114),"",OFFSET('Smelter Reference List'!$F$4,$S1114-4,0)))</f>
        <v/>
      </c>
      <c r="H1114" s="293" t="str">
        <f ca="1">IF(ISERROR($S1114),"",OFFSET('Smelter Reference List'!$G$4,$S1114-4,0))</f>
        <v/>
      </c>
      <c r="I1114" s="294" t="str">
        <f ca="1">IF(ISERROR($S1114),"",OFFSET('Smelter Reference List'!$H$4,$S1114-4,0))</f>
        <v/>
      </c>
      <c r="J1114" s="294" t="str">
        <f ca="1">IF(ISERROR($S1114),"",OFFSET('Smelter Reference List'!$I$4,$S1114-4,0))</f>
        <v/>
      </c>
      <c r="K1114" s="295"/>
      <c r="L1114" s="295"/>
      <c r="M1114" s="295"/>
      <c r="N1114" s="295"/>
      <c r="O1114" s="295"/>
      <c r="P1114" s="295"/>
      <c r="Q1114" s="296"/>
      <c r="R1114" s="227"/>
      <c r="S1114" s="228" t="e">
        <f>IF(C1114="",NA(),MATCH($B1114&amp;$C1114,'Smelter Reference List'!$J:$J,0))</f>
        <v>#N/A</v>
      </c>
      <c r="T1114" s="229"/>
      <c r="U1114" s="229">
        <f t="shared" ca="1" si="36"/>
        <v>0</v>
      </c>
      <c r="V1114" s="229"/>
      <c r="W1114" s="229"/>
      <c r="Y1114" s="223" t="str">
        <f t="shared" si="37"/>
        <v/>
      </c>
    </row>
    <row r="1115" spans="1:25" s="223" customFormat="1" ht="20.25">
      <c r="A1115" s="291"/>
      <c r="B1115" s="292" t="str">
        <f>IF(LEN(A1115)=0,"",INDEX('Smelter Reference List'!$A:$A,MATCH($A1115,'Smelter Reference List'!$E:$E,0)))</f>
        <v/>
      </c>
      <c r="C1115" s="298" t="str">
        <f>IF(LEN(A1115)=0,"",INDEX('Smelter Reference List'!$C:$C,MATCH($A1115,'Smelter Reference List'!$E:$E,0)))</f>
        <v/>
      </c>
      <c r="D1115" s="292" t="str">
        <f ca="1">IF(ISERROR($S1115),"",OFFSET('Smelter Reference List'!$C$4,$S1115-4,0)&amp;"")</f>
        <v/>
      </c>
      <c r="E1115" s="292" t="str">
        <f ca="1">IF(ISERROR($S1115),"",OFFSET('Smelter Reference List'!$D$4,$S1115-4,0)&amp;"")</f>
        <v/>
      </c>
      <c r="F1115" s="292" t="str">
        <f ca="1">IF(ISERROR($S1115),"",OFFSET('Smelter Reference List'!$E$4,$S1115-4,0))</f>
        <v/>
      </c>
      <c r="G1115" s="292" t="str">
        <f ca="1">IF(C1115=$U$4,"Enter smelter details", IF(ISERROR($S1115),"",OFFSET('Smelter Reference List'!$F$4,$S1115-4,0)))</f>
        <v/>
      </c>
      <c r="H1115" s="293" t="str">
        <f ca="1">IF(ISERROR($S1115),"",OFFSET('Smelter Reference List'!$G$4,$S1115-4,0))</f>
        <v/>
      </c>
      <c r="I1115" s="294" t="str">
        <f ca="1">IF(ISERROR($S1115),"",OFFSET('Smelter Reference List'!$H$4,$S1115-4,0))</f>
        <v/>
      </c>
      <c r="J1115" s="294" t="str">
        <f ca="1">IF(ISERROR($S1115),"",OFFSET('Smelter Reference List'!$I$4,$S1115-4,0))</f>
        <v/>
      </c>
      <c r="K1115" s="295"/>
      <c r="L1115" s="295"/>
      <c r="M1115" s="295"/>
      <c r="N1115" s="295"/>
      <c r="O1115" s="295"/>
      <c r="P1115" s="295"/>
      <c r="Q1115" s="296"/>
      <c r="R1115" s="227"/>
      <c r="S1115" s="228" t="e">
        <f>IF(C1115="",NA(),MATCH($B1115&amp;$C1115,'Smelter Reference List'!$J:$J,0))</f>
        <v>#N/A</v>
      </c>
      <c r="T1115" s="229"/>
      <c r="U1115" s="229">
        <f t="shared" ca="1" si="36"/>
        <v>0</v>
      </c>
      <c r="V1115" s="229"/>
      <c r="W1115" s="229"/>
      <c r="Y1115" s="223" t="str">
        <f t="shared" si="37"/>
        <v/>
      </c>
    </row>
    <row r="1116" spans="1:25" s="223" customFormat="1" ht="20.25">
      <c r="A1116" s="291"/>
      <c r="B1116" s="292" t="str">
        <f>IF(LEN(A1116)=0,"",INDEX('Smelter Reference List'!$A:$A,MATCH($A1116,'Smelter Reference List'!$E:$E,0)))</f>
        <v/>
      </c>
      <c r="C1116" s="298" t="str">
        <f>IF(LEN(A1116)=0,"",INDEX('Smelter Reference List'!$C:$C,MATCH($A1116,'Smelter Reference List'!$E:$E,0)))</f>
        <v/>
      </c>
      <c r="D1116" s="292" t="str">
        <f ca="1">IF(ISERROR($S1116),"",OFFSET('Smelter Reference List'!$C$4,$S1116-4,0)&amp;"")</f>
        <v/>
      </c>
      <c r="E1116" s="292" t="str">
        <f ca="1">IF(ISERROR($S1116),"",OFFSET('Smelter Reference List'!$D$4,$S1116-4,0)&amp;"")</f>
        <v/>
      </c>
      <c r="F1116" s="292" t="str">
        <f ca="1">IF(ISERROR($S1116),"",OFFSET('Smelter Reference List'!$E$4,$S1116-4,0))</f>
        <v/>
      </c>
      <c r="G1116" s="292" t="str">
        <f ca="1">IF(C1116=$U$4,"Enter smelter details", IF(ISERROR($S1116),"",OFFSET('Smelter Reference List'!$F$4,$S1116-4,0)))</f>
        <v/>
      </c>
      <c r="H1116" s="293" t="str">
        <f ca="1">IF(ISERROR($S1116),"",OFFSET('Smelter Reference List'!$G$4,$S1116-4,0))</f>
        <v/>
      </c>
      <c r="I1116" s="294" t="str">
        <f ca="1">IF(ISERROR($S1116),"",OFFSET('Smelter Reference List'!$H$4,$S1116-4,0))</f>
        <v/>
      </c>
      <c r="J1116" s="294" t="str">
        <f ca="1">IF(ISERROR($S1116),"",OFFSET('Smelter Reference List'!$I$4,$S1116-4,0))</f>
        <v/>
      </c>
      <c r="K1116" s="295"/>
      <c r="L1116" s="295"/>
      <c r="M1116" s="295"/>
      <c r="N1116" s="295"/>
      <c r="O1116" s="295"/>
      <c r="P1116" s="295"/>
      <c r="Q1116" s="296"/>
      <c r="R1116" s="227"/>
      <c r="S1116" s="228" t="e">
        <f>IF(C1116="",NA(),MATCH($B1116&amp;$C1116,'Smelter Reference List'!$J:$J,0))</f>
        <v>#N/A</v>
      </c>
      <c r="T1116" s="229"/>
      <c r="U1116" s="229">
        <f t="shared" ca="1" si="36"/>
        <v>0</v>
      </c>
      <c r="V1116" s="229"/>
      <c r="W1116" s="229"/>
      <c r="Y1116" s="223" t="str">
        <f t="shared" si="37"/>
        <v/>
      </c>
    </row>
    <row r="1117" spans="1:25" s="223" customFormat="1" ht="20.25">
      <c r="A1117" s="291"/>
      <c r="B1117" s="292" t="str">
        <f>IF(LEN(A1117)=0,"",INDEX('Smelter Reference List'!$A:$A,MATCH($A1117,'Smelter Reference List'!$E:$E,0)))</f>
        <v/>
      </c>
      <c r="C1117" s="298" t="str">
        <f>IF(LEN(A1117)=0,"",INDEX('Smelter Reference List'!$C:$C,MATCH($A1117,'Smelter Reference List'!$E:$E,0)))</f>
        <v/>
      </c>
      <c r="D1117" s="292" t="str">
        <f ca="1">IF(ISERROR($S1117),"",OFFSET('Smelter Reference List'!$C$4,$S1117-4,0)&amp;"")</f>
        <v/>
      </c>
      <c r="E1117" s="292" t="str">
        <f ca="1">IF(ISERROR($S1117),"",OFFSET('Smelter Reference List'!$D$4,$S1117-4,0)&amp;"")</f>
        <v/>
      </c>
      <c r="F1117" s="292" t="str">
        <f ca="1">IF(ISERROR($S1117),"",OFFSET('Smelter Reference List'!$E$4,$S1117-4,0))</f>
        <v/>
      </c>
      <c r="G1117" s="292" t="str">
        <f ca="1">IF(C1117=$U$4,"Enter smelter details", IF(ISERROR($S1117),"",OFFSET('Smelter Reference List'!$F$4,$S1117-4,0)))</f>
        <v/>
      </c>
      <c r="H1117" s="293" t="str">
        <f ca="1">IF(ISERROR($S1117),"",OFFSET('Smelter Reference List'!$G$4,$S1117-4,0))</f>
        <v/>
      </c>
      <c r="I1117" s="294" t="str">
        <f ca="1">IF(ISERROR($S1117),"",OFFSET('Smelter Reference List'!$H$4,$S1117-4,0))</f>
        <v/>
      </c>
      <c r="J1117" s="294" t="str">
        <f ca="1">IF(ISERROR($S1117),"",OFFSET('Smelter Reference List'!$I$4,$S1117-4,0))</f>
        <v/>
      </c>
      <c r="K1117" s="295"/>
      <c r="L1117" s="295"/>
      <c r="M1117" s="295"/>
      <c r="N1117" s="295"/>
      <c r="O1117" s="295"/>
      <c r="P1117" s="295"/>
      <c r="Q1117" s="296"/>
      <c r="R1117" s="227"/>
      <c r="S1117" s="228" t="e">
        <f>IF(C1117="",NA(),MATCH($B1117&amp;$C1117,'Smelter Reference List'!$J:$J,0))</f>
        <v>#N/A</v>
      </c>
      <c r="T1117" s="229"/>
      <c r="U1117" s="229">
        <f t="shared" ca="1" si="36"/>
        <v>0</v>
      </c>
      <c r="V1117" s="229"/>
      <c r="W1117" s="229"/>
      <c r="Y1117" s="223" t="str">
        <f t="shared" si="37"/>
        <v/>
      </c>
    </row>
    <row r="1118" spans="1:25" s="223" customFormat="1" ht="20.25">
      <c r="A1118" s="291"/>
      <c r="B1118" s="292" t="str">
        <f>IF(LEN(A1118)=0,"",INDEX('Smelter Reference List'!$A:$A,MATCH($A1118,'Smelter Reference List'!$E:$E,0)))</f>
        <v/>
      </c>
      <c r="C1118" s="298" t="str">
        <f>IF(LEN(A1118)=0,"",INDEX('Smelter Reference List'!$C:$C,MATCH($A1118,'Smelter Reference List'!$E:$E,0)))</f>
        <v/>
      </c>
      <c r="D1118" s="292" t="str">
        <f ca="1">IF(ISERROR($S1118),"",OFFSET('Smelter Reference List'!$C$4,$S1118-4,0)&amp;"")</f>
        <v/>
      </c>
      <c r="E1118" s="292" t="str">
        <f ca="1">IF(ISERROR($S1118),"",OFFSET('Smelter Reference List'!$D$4,$S1118-4,0)&amp;"")</f>
        <v/>
      </c>
      <c r="F1118" s="292" t="str">
        <f ca="1">IF(ISERROR($S1118),"",OFFSET('Smelter Reference List'!$E$4,$S1118-4,0))</f>
        <v/>
      </c>
      <c r="G1118" s="292" t="str">
        <f ca="1">IF(C1118=$U$4,"Enter smelter details", IF(ISERROR($S1118),"",OFFSET('Smelter Reference List'!$F$4,$S1118-4,0)))</f>
        <v/>
      </c>
      <c r="H1118" s="293" t="str">
        <f ca="1">IF(ISERROR($S1118),"",OFFSET('Smelter Reference List'!$G$4,$S1118-4,0))</f>
        <v/>
      </c>
      <c r="I1118" s="294" t="str">
        <f ca="1">IF(ISERROR($S1118),"",OFFSET('Smelter Reference List'!$H$4,$S1118-4,0))</f>
        <v/>
      </c>
      <c r="J1118" s="294" t="str">
        <f ca="1">IF(ISERROR($S1118),"",OFFSET('Smelter Reference List'!$I$4,$S1118-4,0))</f>
        <v/>
      </c>
      <c r="K1118" s="295"/>
      <c r="L1118" s="295"/>
      <c r="M1118" s="295"/>
      <c r="N1118" s="295"/>
      <c r="O1118" s="295"/>
      <c r="P1118" s="295"/>
      <c r="Q1118" s="296"/>
      <c r="R1118" s="227"/>
      <c r="S1118" s="228" t="e">
        <f>IF(C1118="",NA(),MATCH($B1118&amp;$C1118,'Smelter Reference List'!$J:$J,0))</f>
        <v>#N/A</v>
      </c>
      <c r="T1118" s="229"/>
      <c r="U1118" s="229">
        <f t="shared" ca="1" si="36"/>
        <v>0</v>
      </c>
      <c r="V1118" s="229"/>
      <c r="W1118" s="229"/>
      <c r="Y1118" s="223" t="str">
        <f t="shared" si="37"/>
        <v/>
      </c>
    </row>
    <row r="1119" spans="1:25" s="223" customFormat="1" ht="20.25">
      <c r="A1119" s="291"/>
      <c r="B1119" s="292" t="str">
        <f>IF(LEN(A1119)=0,"",INDEX('Smelter Reference List'!$A:$A,MATCH($A1119,'Smelter Reference List'!$E:$E,0)))</f>
        <v/>
      </c>
      <c r="C1119" s="298" t="str">
        <f>IF(LEN(A1119)=0,"",INDEX('Smelter Reference List'!$C:$C,MATCH($A1119,'Smelter Reference List'!$E:$E,0)))</f>
        <v/>
      </c>
      <c r="D1119" s="292" t="str">
        <f ca="1">IF(ISERROR($S1119),"",OFFSET('Smelter Reference List'!$C$4,$S1119-4,0)&amp;"")</f>
        <v/>
      </c>
      <c r="E1119" s="292" t="str">
        <f ca="1">IF(ISERROR($S1119),"",OFFSET('Smelter Reference List'!$D$4,$S1119-4,0)&amp;"")</f>
        <v/>
      </c>
      <c r="F1119" s="292" t="str">
        <f ca="1">IF(ISERROR($S1119),"",OFFSET('Smelter Reference List'!$E$4,$S1119-4,0))</f>
        <v/>
      </c>
      <c r="G1119" s="292" t="str">
        <f ca="1">IF(C1119=$U$4,"Enter smelter details", IF(ISERROR($S1119),"",OFFSET('Smelter Reference List'!$F$4,$S1119-4,0)))</f>
        <v/>
      </c>
      <c r="H1119" s="293" t="str">
        <f ca="1">IF(ISERROR($S1119),"",OFFSET('Smelter Reference List'!$G$4,$S1119-4,0))</f>
        <v/>
      </c>
      <c r="I1119" s="294" t="str">
        <f ca="1">IF(ISERROR($S1119),"",OFFSET('Smelter Reference List'!$H$4,$S1119-4,0))</f>
        <v/>
      </c>
      <c r="J1119" s="294" t="str">
        <f ca="1">IF(ISERROR($S1119),"",OFFSET('Smelter Reference List'!$I$4,$S1119-4,0))</f>
        <v/>
      </c>
      <c r="K1119" s="295"/>
      <c r="L1119" s="295"/>
      <c r="M1119" s="295"/>
      <c r="N1119" s="295"/>
      <c r="O1119" s="295"/>
      <c r="P1119" s="295"/>
      <c r="Q1119" s="296"/>
      <c r="R1119" s="227"/>
      <c r="S1119" s="228" t="e">
        <f>IF(C1119="",NA(),MATCH($B1119&amp;$C1119,'Smelter Reference List'!$J:$J,0))</f>
        <v>#N/A</v>
      </c>
      <c r="T1119" s="229"/>
      <c r="U1119" s="229">
        <f t="shared" ca="1" si="36"/>
        <v>0</v>
      </c>
      <c r="V1119" s="229"/>
      <c r="W1119" s="229"/>
      <c r="Y1119" s="223" t="str">
        <f t="shared" si="37"/>
        <v/>
      </c>
    </row>
    <row r="1120" spans="1:25" s="223" customFormat="1" ht="20.25">
      <c r="A1120" s="291"/>
      <c r="B1120" s="292" t="str">
        <f>IF(LEN(A1120)=0,"",INDEX('Smelter Reference List'!$A:$A,MATCH($A1120,'Smelter Reference List'!$E:$E,0)))</f>
        <v/>
      </c>
      <c r="C1120" s="298" t="str">
        <f>IF(LEN(A1120)=0,"",INDEX('Smelter Reference List'!$C:$C,MATCH($A1120,'Smelter Reference List'!$E:$E,0)))</f>
        <v/>
      </c>
      <c r="D1120" s="292" t="str">
        <f ca="1">IF(ISERROR($S1120),"",OFFSET('Smelter Reference List'!$C$4,$S1120-4,0)&amp;"")</f>
        <v/>
      </c>
      <c r="E1120" s="292" t="str">
        <f ca="1">IF(ISERROR($S1120),"",OFFSET('Smelter Reference List'!$D$4,$S1120-4,0)&amp;"")</f>
        <v/>
      </c>
      <c r="F1120" s="292" t="str">
        <f ca="1">IF(ISERROR($S1120),"",OFFSET('Smelter Reference List'!$E$4,$S1120-4,0))</f>
        <v/>
      </c>
      <c r="G1120" s="292" t="str">
        <f ca="1">IF(C1120=$U$4,"Enter smelter details", IF(ISERROR($S1120),"",OFFSET('Smelter Reference List'!$F$4,$S1120-4,0)))</f>
        <v/>
      </c>
      <c r="H1120" s="293" t="str">
        <f ca="1">IF(ISERROR($S1120),"",OFFSET('Smelter Reference List'!$G$4,$S1120-4,0))</f>
        <v/>
      </c>
      <c r="I1120" s="294" t="str">
        <f ca="1">IF(ISERROR($S1120),"",OFFSET('Smelter Reference List'!$H$4,$S1120-4,0))</f>
        <v/>
      </c>
      <c r="J1120" s="294" t="str">
        <f ca="1">IF(ISERROR($S1120),"",OFFSET('Smelter Reference List'!$I$4,$S1120-4,0))</f>
        <v/>
      </c>
      <c r="K1120" s="295"/>
      <c r="L1120" s="295"/>
      <c r="M1120" s="295"/>
      <c r="N1120" s="295"/>
      <c r="O1120" s="295"/>
      <c r="P1120" s="295"/>
      <c r="Q1120" s="296"/>
      <c r="R1120" s="227"/>
      <c r="S1120" s="228" t="e">
        <f>IF(C1120="",NA(),MATCH($B1120&amp;$C1120,'Smelter Reference List'!$J:$J,0))</f>
        <v>#N/A</v>
      </c>
      <c r="T1120" s="229"/>
      <c r="U1120" s="229">
        <f t="shared" ca="1" si="36"/>
        <v>0</v>
      </c>
      <c r="V1120" s="229"/>
      <c r="W1120" s="229"/>
      <c r="Y1120" s="223" t="str">
        <f t="shared" si="37"/>
        <v/>
      </c>
    </row>
    <row r="1121" spans="1:25" s="223" customFormat="1" ht="20.25">
      <c r="A1121" s="291"/>
      <c r="B1121" s="292" t="str">
        <f>IF(LEN(A1121)=0,"",INDEX('Smelter Reference List'!$A:$A,MATCH($A1121,'Smelter Reference List'!$E:$E,0)))</f>
        <v/>
      </c>
      <c r="C1121" s="298" t="str">
        <f>IF(LEN(A1121)=0,"",INDEX('Smelter Reference List'!$C:$C,MATCH($A1121,'Smelter Reference List'!$E:$E,0)))</f>
        <v/>
      </c>
      <c r="D1121" s="292" t="str">
        <f ca="1">IF(ISERROR($S1121),"",OFFSET('Smelter Reference List'!$C$4,$S1121-4,0)&amp;"")</f>
        <v/>
      </c>
      <c r="E1121" s="292" t="str">
        <f ca="1">IF(ISERROR($S1121),"",OFFSET('Smelter Reference List'!$D$4,$S1121-4,0)&amp;"")</f>
        <v/>
      </c>
      <c r="F1121" s="292" t="str">
        <f ca="1">IF(ISERROR($S1121),"",OFFSET('Smelter Reference List'!$E$4,$S1121-4,0))</f>
        <v/>
      </c>
      <c r="G1121" s="292" t="str">
        <f ca="1">IF(C1121=$U$4,"Enter smelter details", IF(ISERROR($S1121),"",OFFSET('Smelter Reference List'!$F$4,$S1121-4,0)))</f>
        <v/>
      </c>
      <c r="H1121" s="293" t="str">
        <f ca="1">IF(ISERROR($S1121),"",OFFSET('Smelter Reference List'!$G$4,$S1121-4,0))</f>
        <v/>
      </c>
      <c r="I1121" s="294" t="str">
        <f ca="1">IF(ISERROR($S1121),"",OFFSET('Smelter Reference List'!$H$4,$S1121-4,0))</f>
        <v/>
      </c>
      <c r="J1121" s="294" t="str">
        <f ca="1">IF(ISERROR($S1121),"",OFFSET('Smelter Reference List'!$I$4,$S1121-4,0))</f>
        <v/>
      </c>
      <c r="K1121" s="295"/>
      <c r="L1121" s="295"/>
      <c r="M1121" s="295"/>
      <c r="N1121" s="295"/>
      <c r="O1121" s="295"/>
      <c r="P1121" s="295"/>
      <c r="Q1121" s="296"/>
      <c r="R1121" s="227"/>
      <c r="S1121" s="228" t="e">
        <f>IF(C1121="",NA(),MATCH($B1121&amp;$C1121,'Smelter Reference List'!$J:$J,0))</f>
        <v>#N/A</v>
      </c>
      <c r="T1121" s="229"/>
      <c r="U1121" s="229">
        <f t="shared" ca="1" si="36"/>
        <v>0</v>
      </c>
      <c r="V1121" s="229"/>
      <c r="W1121" s="229"/>
      <c r="Y1121" s="223" t="str">
        <f t="shared" si="37"/>
        <v/>
      </c>
    </row>
    <row r="1122" spans="1:25" s="223" customFormat="1" ht="20.25">
      <c r="A1122" s="291"/>
      <c r="B1122" s="292" t="str">
        <f>IF(LEN(A1122)=0,"",INDEX('Smelter Reference List'!$A:$A,MATCH($A1122,'Smelter Reference List'!$E:$E,0)))</f>
        <v/>
      </c>
      <c r="C1122" s="298" t="str">
        <f>IF(LEN(A1122)=0,"",INDEX('Smelter Reference List'!$C:$C,MATCH($A1122,'Smelter Reference List'!$E:$E,0)))</f>
        <v/>
      </c>
      <c r="D1122" s="292" t="str">
        <f ca="1">IF(ISERROR($S1122),"",OFFSET('Smelter Reference List'!$C$4,$S1122-4,0)&amp;"")</f>
        <v/>
      </c>
      <c r="E1122" s="292" t="str">
        <f ca="1">IF(ISERROR($S1122),"",OFFSET('Smelter Reference List'!$D$4,$S1122-4,0)&amp;"")</f>
        <v/>
      </c>
      <c r="F1122" s="292" t="str">
        <f ca="1">IF(ISERROR($S1122),"",OFFSET('Smelter Reference List'!$E$4,$S1122-4,0))</f>
        <v/>
      </c>
      <c r="G1122" s="292" t="str">
        <f ca="1">IF(C1122=$U$4,"Enter smelter details", IF(ISERROR($S1122),"",OFFSET('Smelter Reference List'!$F$4,$S1122-4,0)))</f>
        <v/>
      </c>
      <c r="H1122" s="293" t="str">
        <f ca="1">IF(ISERROR($S1122),"",OFFSET('Smelter Reference List'!$G$4,$S1122-4,0))</f>
        <v/>
      </c>
      <c r="I1122" s="294" t="str">
        <f ca="1">IF(ISERROR($S1122),"",OFFSET('Smelter Reference List'!$H$4,$S1122-4,0))</f>
        <v/>
      </c>
      <c r="J1122" s="294" t="str">
        <f ca="1">IF(ISERROR($S1122),"",OFFSET('Smelter Reference List'!$I$4,$S1122-4,0))</f>
        <v/>
      </c>
      <c r="K1122" s="295"/>
      <c r="L1122" s="295"/>
      <c r="M1122" s="295"/>
      <c r="N1122" s="295"/>
      <c r="O1122" s="295"/>
      <c r="P1122" s="295"/>
      <c r="Q1122" s="296"/>
      <c r="R1122" s="227"/>
      <c r="S1122" s="228" t="e">
        <f>IF(C1122="",NA(),MATCH($B1122&amp;$C1122,'Smelter Reference List'!$J:$J,0))</f>
        <v>#N/A</v>
      </c>
      <c r="T1122" s="229"/>
      <c r="U1122" s="229">
        <f t="shared" ca="1" si="36"/>
        <v>0</v>
      </c>
      <c r="V1122" s="229"/>
      <c r="W1122" s="229"/>
      <c r="Y1122" s="223" t="str">
        <f t="shared" si="37"/>
        <v/>
      </c>
    </row>
    <row r="1123" spans="1:25" s="223" customFormat="1" ht="20.25">
      <c r="A1123" s="291"/>
      <c r="B1123" s="292" t="str">
        <f>IF(LEN(A1123)=0,"",INDEX('Smelter Reference List'!$A:$A,MATCH($A1123,'Smelter Reference List'!$E:$E,0)))</f>
        <v/>
      </c>
      <c r="C1123" s="298" t="str">
        <f>IF(LEN(A1123)=0,"",INDEX('Smelter Reference List'!$C:$C,MATCH($A1123,'Smelter Reference List'!$E:$E,0)))</f>
        <v/>
      </c>
      <c r="D1123" s="292" t="str">
        <f ca="1">IF(ISERROR($S1123),"",OFFSET('Smelter Reference List'!$C$4,$S1123-4,0)&amp;"")</f>
        <v/>
      </c>
      <c r="E1123" s="292" t="str">
        <f ca="1">IF(ISERROR($S1123),"",OFFSET('Smelter Reference List'!$D$4,$S1123-4,0)&amp;"")</f>
        <v/>
      </c>
      <c r="F1123" s="292" t="str">
        <f ca="1">IF(ISERROR($S1123),"",OFFSET('Smelter Reference List'!$E$4,$S1123-4,0))</f>
        <v/>
      </c>
      <c r="G1123" s="292" t="str">
        <f ca="1">IF(C1123=$U$4,"Enter smelter details", IF(ISERROR($S1123),"",OFFSET('Smelter Reference List'!$F$4,$S1123-4,0)))</f>
        <v/>
      </c>
      <c r="H1123" s="293" t="str">
        <f ca="1">IF(ISERROR($S1123),"",OFFSET('Smelter Reference List'!$G$4,$S1123-4,0))</f>
        <v/>
      </c>
      <c r="I1123" s="294" t="str">
        <f ca="1">IF(ISERROR($S1123),"",OFFSET('Smelter Reference List'!$H$4,$S1123-4,0))</f>
        <v/>
      </c>
      <c r="J1123" s="294" t="str">
        <f ca="1">IF(ISERROR($S1123),"",OFFSET('Smelter Reference List'!$I$4,$S1123-4,0))</f>
        <v/>
      </c>
      <c r="K1123" s="295"/>
      <c r="L1123" s="295"/>
      <c r="M1123" s="295"/>
      <c r="N1123" s="295"/>
      <c r="O1123" s="295"/>
      <c r="P1123" s="295"/>
      <c r="Q1123" s="296"/>
      <c r="R1123" s="227"/>
      <c r="S1123" s="228" t="e">
        <f>IF(C1123="",NA(),MATCH($B1123&amp;$C1123,'Smelter Reference List'!$J:$J,0))</f>
        <v>#N/A</v>
      </c>
      <c r="T1123" s="229"/>
      <c r="U1123" s="229">
        <f t="shared" ca="1" si="36"/>
        <v>0</v>
      </c>
      <c r="V1123" s="229"/>
      <c r="W1123" s="229"/>
      <c r="Y1123" s="223" t="str">
        <f t="shared" si="37"/>
        <v/>
      </c>
    </row>
    <row r="1124" spans="1:25" s="223" customFormat="1" ht="20.25">
      <c r="A1124" s="291"/>
      <c r="B1124" s="292" t="str">
        <f>IF(LEN(A1124)=0,"",INDEX('Smelter Reference List'!$A:$A,MATCH($A1124,'Smelter Reference List'!$E:$E,0)))</f>
        <v/>
      </c>
      <c r="C1124" s="298" t="str">
        <f>IF(LEN(A1124)=0,"",INDEX('Smelter Reference List'!$C:$C,MATCH($A1124,'Smelter Reference List'!$E:$E,0)))</f>
        <v/>
      </c>
      <c r="D1124" s="292" t="str">
        <f ca="1">IF(ISERROR($S1124),"",OFFSET('Smelter Reference List'!$C$4,$S1124-4,0)&amp;"")</f>
        <v/>
      </c>
      <c r="E1124" s="292" t="str">
        <f ca="1">IF(ISERROR($S1124),"",OFFSET('Smelter Reference List'!$D$4,$S1124-4,0)&amp;"")</f>
        <v/>
      </c>
      <c r="F1124" s="292" t="str">
        <f ca="1">IF(ISERROR($S1124),"",OFFSET('Smelter Reference List'!$E$4,$S1124-4,0))</f>
        <v/>
      </c>
      <c r="G1124" s="292" t="str">
        <f ca="1">IF(C1124=$U$4,"Enter smelter details", IF(ISERROR($S1124),"",OFFSET('Smelter Reference List'!$F$4,$S1124-4,0)))</f>
        <v/>
      </c>
      <c r="H1124" s="293" t="str">
        <f ca="1">IF(ISERROR($S1124),"",OFFSET('Smelter Reference List'!$G$4,$S1124-4,0))</f>
        <v/>
      </c>
      <c r="I1124" s="294" t="str">
        <f ca="1">IF(ISERROR($S1124),"",OFFSET('Smelter Reference List'!$H$4,$S1124-4,0))</f>
        <v/>
      </c>
      <c r="J1124" s="294" t="str">
        <f ca="1">IF(ISERROR($S1124),"",OFFSET('Smelter Reference List'!$I$4,$S1124-4,0))</f>
        <v/>
      </c>
      <c r="K1124" s="295"/>
      <c r="L1124" s="295"/>
      <c r="M1124" s="295"/>
      <c r="N1124" s="295"/>
      <c r="O1124" s="295"/>
      <c r="P1124" s="295"/>
      <c r="Q1124" s="296"/>
      <c r="R1124" s="227"/>
      <c r="S1124" s="228" t="e">
        <f>IF(C1124="",NA(),MATCH($B1124&amp;$C1124,'Smelter Reference List'!$J:$J,0))</f>
        <v>#N/A</v>
      </c>
      <c r="T1124" s="229"/>
      <c r="U1124" s="229">
        <f t="shared" ca="1" si="36"/>
        <v>0</v>
      </c>
      <c r="V1124" s="229"/>
      <c r="W1124" s="229"/>
      <c r="Y1124" s="223" t="str">
        <f t="shared" si="37"/>
        <v/>
      </c>
    </row>
    <row r="1125" spans="1:25" s="223" customFormat="1" ht="20.25">
      <c r="A1125" s="291"/>
      <c r="B1125" s="292" t="str">
        <f>IF(LEN(A1125)=0,"",INDEX('Smelter Reference List'!$A:$A,MATCH($A1125,'Smelter Reference List'!$E:$E,0)))</f>
        <v/>
      </c>
      <c r="C1125" s="298" t="str">
        <f>IF(LEN(A1125)=0,"",INDEX('Smelter Reference List'!$C:$C,MATCH($A1125,'Smelter Reference List'!$E:$E,0)))</f>
        <v/>
      </c>
      <c r="D1125" s="292" t="str">
        <f ca="1">IF(ISERROR($S1125),"",OFFSET('Smelter Reference List'!$C$4,$S1125-4,0)&amp;"")</f>
        <v/>
      </c>
      <c r="E1125" s="292" t="str">
        <f ca="1">IF(ISERROR($S1125),"",OFFSET('Smelter Reference List'!$D$4,$S1125-4,0)&amp;"")</f>
        <v/>
      </c>
      <c r="F1125" s="292" t="str">
        <f ca="1">IF(ISERROR($S1125),"",OFFSET('Smelter Reference List'!$E$4,$S1125-4,0))</f>
        <v/>
      </c>
      <c r="G1125" s="292" t="str">
        <f ca="1">IF(C1125=$U$4,"Enter smelter details", IF(ISERROR($S1125),"",OFFSET('Smelter Reference List'!$F$4,$S1125-4,0)))</f>
        <v/>
      </c>
      <c r="H1125" s="293" t="str">
        <f ca="1">IF(ISERROR($S1125),"",OFFSET('Smelter Reference List'!$G$4,$S1125-4,0))</f>
        <v/>
      </c>
      <c r="I1125" s="294" t="str">
        <f ca="1">IF(ISERROR($S1125),"",OFFSET('Smelter Reference List'!$H$4,$S1125-4,0))</f>
        <v/>
      </c>
      <c r="J1125" s="294" t="str">
        <f ca="1">IF(ISERROR($S1125),"",OFFSET('Smelter Reference List'!$I$4,$S1125-4,0))</f>
        <v/>
      </c>
      <c r="K1125" s="295"/>
      <c r="L1125" s="295"/>
      <c r="M1125" s="295"/>
      <c r="N1125" s="295"/>
      <c r="O1125" s="295"/>
      <c r="P1125" s="295"/>
      <c r="Q1125" s="296"/>
      <c r="R1125" s="227"/>
      <c r="S1125" s="228" t="e">
        <f>IF(C1125="",NA(),MATCH($B1125&amp;$C1125,'Smelter Reference List'!$J:$J,0))</f>
        <v>#N/A</v>
      </c>
      <c r="T1125" s="229"/>
      <c r="U1125" s="229">
        <f t="shared" ca="1" si="36"/>
        <v>0</v>
      </c>
      <c r="V1125" s="229"/>
      <c r="W1125" s="229"/>
      <c r="Y1125" s="223" t="str">
        <f t="shared" si="37"/>
        <v/>
      </c>
    </row>
    <row r="1126" spans="1:25" s="223" customFormat="1" ht="20.25">
      <c r="A1126" s="291"/>
      <c r="B1126" s="292" t="str">
        <f>IF(LEN(A1126)=0,"",INDEX('Smelter Reference List'!$A:$A,MATCH($A1126,'Smelter Reference List'!$E:$E,0)))</f>
        <v/>
      </c>
      <c r="C1126" s="298" t="str">
        <f>IF(LEN(A1126)=0,"",INDEX('Smelter Reference List'!$C:$C,MATCH($A1126,'Smelter Reference List'!$E:$E,0)))</f>
        <v/>
      </c>
      <c r="D1126" s="292" t="str">
        <f ca="1">IF(ISERROR($S1126),"",OFFSET('Smelter Reference List'!$C$4,$S1126-4,0)&amp;"")</f>
        <v/>
      </c>
      <c r="E1126" s="292" t="str">
        <f ca="1">IF(ISERROR($S1126),"",OFFSET('Smelter Reference List'!$D$4,$S1126-4,0)&amp;"")</f>
        <v/>
      </c>
      <c r="F1126" s="292" t="str">
        <f ca="1">IF(ISERROR($S1126),"",OFFSET('Smelter Reference List'!$E$4,$S1126-4,0))</f>
        <v/>
      </c>
      <c r="G1126" s="292" t="str">
        <f ca="1">IF(C1126=$U$4,"Enter smelter details", IF(ISERROR($S1126),"",OFFSET('Smelter Reference List'!$F$4,$S1126-4,0)))</f>
        <v/>
      </c>
      <c r="H1126" s="293" t="str">
        <f ca="1">IF(ISERROR($S1126),"",OFFSET('Smelter Reference List'!$G$4,$S1126-4,0))</f>
        <v/>
      </c>
      <c r="I1126" s="294" t="str">
        <f ca="1">IF(ISERROR($S1126),"",OFFSET('Smelter Reference List'!$H$4,$S1126-4,0))</f>
        <v/>
      </c>
      <c r="J1126" s="294" t="str">
        <f ca="1">IF(ISERROR($S1126),"",OFFSET('Smelter Reference List'!$I$4,$S1126-4,0))</f>
        <v/>
      </c>
      <c r="K1126" s="295"/>
      <c r="L1126" s="295"/>
      <c r="M1126" s="295"/>
      <c r="N1126" s="295"/>
      <c r="O1126" s="295"/>
      <c r="P1126" s="295"/>
      <c r="Q1126" s="296"/>
      <c r="R1126" s="227"/>
      <c r="S1126" s="228" t="e">
        <f>IF(C1126="",NA(),MATCH($B1126&amp;$C1126,'Smelter Reference List'!$J:$J,0))</f>
        <v>#N/A</v>
      </c>
      <c r="T1126" s="229"/>
      <c r="U1126" s="229">
        <f t="shared" ca="1" si="36"/>
        <v>0</v>
      </c>
      <c r="V1126" s="229"/>
      <c r="W1126" s="229"/>
      <c r="Y1126" s="223" t="str">
        <f t="shared" si="37"/>
        <v/>
      </c>
    </row>
    <row r="1127" spans="1:25" s="223" customFormat="1" ht="20.25">
      <c r="A1127" s="291"/>
      <c r="B1127" s="292" t="str">
        <f>IF(LEN(A1127)=0,"",INDEX('Smelter Reference List'!$A:$A,MATCH($A1127,'Smelter Reference List'!$E:$E,0)))</f>
        <v/>
      </c>
      <c r="C1127" s="298" t="str">
        <f>IF(LEN(A1127)=0,"",INDEX('Smelter Reference List'!$C:$C,MATCH($A1127,'Smelter Reference List'!$E:$E,0)))</f>
        <v/>
      </c>
      <c r="D1127" s="292" t="str">
        <f ca="1">IF(ISERROR($S1127),"",OFFSET('Smelter Reference List'!$C$4,$S1127-4,0)&amp;"")</f>
        <v/>
      </c>
      <c r="E1127" s="292" t="str">
        <f ca="1">IF(ISERROR($S1127),"",OFFSET('Smelter Reference List'!$D$4,$S1127-4,0)&amp;"")</f>
        <v/>
      </c>
      <c r="F1127" s="292" t="str">
        <f ca="1">IF(ISERROR($S1127),"",OFFSET('Smelter Reference List'!$E$4,$S1127-4,0))</f>
        <v/>
      </c>
      <c r="G1127" s="292" t="str">
        <f ca="1">IF(C1127=$U$4,"Enter smelter details", IF(ISERROR($S1127),"",OFFSET('Smelter Reference List'!$F$4,$S1127-4,0)))</f>
        <v/>
      </c>
      <c r="H1127" s="293" t="str">
        <f ca="1">IF(ISERROR($S1127),"",OFFSET('Smelter Reference List'!$G$4,$S1127-4,0))</f>
        <v/>
      </c>
      <c r="I1127" s="294" t="str">
        <f ca="1">IF(ISERROR($S1127),"",OFFSET('Smelter Reference List'!$H$4,$S1127-4,0))</f>
        <v/>
      </c>
      <c r="J1127" s="294" t="str">
        <f ca="1">IF(ISERROR($S1127),"",OFFSET('Smelter Reference List'!$I$4,$S1127-4,0))</f>
        <v/>
      </c>
      <c r="K1127" s="295"/>
      <c r="L1127" s="295"/>
      <c r="M1127" s="295"/>
      <c r="N1127" s="295"/>
      <c r="O1127" s="295"/>
      <c r="P1127" s="295"/>
      <c r="Q1127" s="296"/>
      <c r="R1127" s="227"/>
      <c r="S1127" s="228" t="e">
        <f>IF(C1127="",NA(),MATCH($B1127&amp;$C1127,'Smelter Reference List'!$J:$J,0))</f>
        <v>#N/A</v>
      </c>
      <c r="T1127" s="229"/>
      <c r="U1127" s="229">
        <f t="shared" ca="1" si="36"/>
        <v>0</v>
      </c>
      <c r="V1127" s="229"/>
      <c r="W1127" s="229"/>
      <c r="Y1127" s="223" t="str">
        <f t="shared" si="37"/>
        <v/>
      </c>
    </row>
    <row r="1128" spans="1:25" s="223" customFormat="1" ht="20.25">
      <c r="A1128" s="291"/>
      <c r="B1128" s="292" t="str">
        <f>IF(LEN(A1128)=0,"",INDEX('Smelter Reference List'!$A:$A,MATCH($A1128,'Smelter Reference List'!$E:$E,0)))</f>
        <v/>
      </c>
      <c r="C1128" s="298" t="str">
        <f>IF(LEN(A1128)=0,"",INDEX('Smelter Reference List'!$C:$C,MATCH($A1128,'Smelter Reference List'!$E:$E,0)))</f>
        <v/>
      </c>
      <c r="D1128" s="292" t="str">
        <f ca="1">IF(ISERROR($S1128),"",OFFSET('Smelter Reference List'!$C$4,$S1128-4,0)&amp;"")</f>
        <v/>
      </c>
      <c r="E1128" s="292" t="str">
        <f ca="1">IF(ISERROR($S1128),"",OFFSET('Smelter Reference List'!$D$4,$S1128-4,0)&amp;"")</f>
        <v/>
      </c>
      <c r="F1128" s="292" t="str">
        <f ca="1">IF(ISERROR($S1128),"",OFFSET('Smelter Reference List'!$E$4,$S1128-4,0))</f>
        <v/>
      </c>
      <c r="G1128" s="292" t="str">
        <f ca="1">IF(C1128=$U$4,"Enter smelter details", IF(ISERROR($S1128),"",OFFSET('Smelter Reference List'!$F$4,$S1128-4,0)))</f>
        <v/>
      </c>
      <c r="H1128" s="293" t="str">
        <f ca="1">IF(ISERROR($S1128),"",OFFSET('Smelter Reference List'!$G$4,$S1128-4,0))</f>
        <v/>
      </c>
      <c r="I1128" s="294" t="str">
        <f ca="1">IF(ISERROR($S1128),"",OFFSET('Smelter Reference List'!$H$4,$S1128-4,0))</f>
        <v/>
      </c>
      <c r="J1128" s="294" t="str">
        <f ca="1">IF(ISERROR($S1128),"",OFFSET('Smelter Reference List'!$I$4,$S1128-4,0))</f>
        <v/>
      </c>
      <c r="K1128" s="295"/>
      <c r="L1128" s="295"/>
      <c r="M1128" s="295"/>
      <c r="N1128" s="295"/>
      <c r="O1128" s="295"/>
      <c r="P1128" s="295"/>
      <c r="Q1128" s="296"/>
      <c r="R1128" s="227"/>
      <c r="S1128" s="228" t="e">
        <f>IF(C1128="",NA(),MATCH($B1128&amp;$C1128,'Smelter Reference List'!$J:$J,0))</f>
        <v>#N/A</v>
      </c>
      <c r="T1128" s="229"/>
      <c r="U1128" s="229">
        <f t="shared" ca="1" si="36"/>
        <v>0</v>
      </c>
      <c r="V1128" s="229"/>
      <c r="W1128" s="229"/>
      <c r="Y1128" s="223" t="str">
        <f t="shared" si="37"/>
        <v/>
      </c>
    </row>
    <row r="1129" spans="1:25" s="223" customFormat="1" ht="20.25">
      <c r="A1129" s="291"/>
      <c r="B1129" s="292" t="str">
        <f>IF(LEN(A1129)=0,"",INDEX('Smelter Reference List'!$A:$A,MATCH($A1129,'Smelter Reference List'!$E:$E,0)))</f>
        <v/>
      </c>
      <c r="C1129" s="298" t="str">
        <f>IF(LEN(A1129)=0,"",INDEX('Smelter Reference List'!$C:$C,MATCH($A1129,'Smelter Reference List'!$E:$E,0)))</f>
        <v/>
      </c>
      <c r="D1129" s="292" t="str">
        <f ca="1">IF(ISERROR($S1129),"",OFFSET('Smelter Reference List'!$C$4,$S1129-4,0)&amp;"")</f>
        <v/>
      </c>
      <c r="E1129" s="292" t="str">
        <f ca="1">IF(ISERROR($S1129),"",OFFSET('Smelter Reference List'!$D$4,$S1129-4,0)&amp;"")</f>
        <v/>
      </c>
      <c r="F1129" s="292" t="str">
        <f ca="1">IF(ISERROR($S1129),"",OFFSET('Smelter Reference List'!$E$4,$S1129-4,0))</f>
        <v/>
      </c>
      <c r="G1129" s="292" t="str">
        <f ca="1">IF(C1129=$U$4,"Enter smelter details", IF(ISERROR($S1129),"",OFFSET('Smelter Reference List'!$F$4,$S1129-4,0)))</f>
        <v/>
      </c>
      <c r="H1129" s="293" t="str">
        <f ca="1">IF(ISERROR($S1129),"",OFFSET('Smelter Reference List'!$G$4,$S1129-4,0))</f>
        <v/>
      </c>
      <c r="I1129" s="294" t="str">
        <f ca="1">IF(ISERROR($S1129),"",OFFSET('Smelter Reference List'!$H$4,$S1129-4,0))</f>
        <v/>
      </c>
      <c r="J1129" s="294" t="str">
        <f ca="1">IF(ISERROR($S1129),"",OFFSET('Smelter Reference List'!$I$4,$S1129-4,0))</f>
        <v/>
      </c>
      <c r="K1129" s="295"/>
      <c r="L1129" s="295"/>
      <c r="M1129" s="295"/>
      <c r="N1129" s="295"/>
      <c r="O1129" s="295"/>
      <c r="P1129" s="295"/>
      <c r="Q1129" s="296"/>
      <c r="R1129" s="227"/>
      <c r="S1129" s="228" t="e">
        <f>IF(C1129="",NA(),MATCH($B1129&amp;$C1129,'Smelter Reference List'!$J:$J,0))</f>
        <v>#N/A</v>
      </c>
      <c r="T1129" s="229"/>
      <c r="U1129" s="229">
        <f t="shared" ca="1" si="36"/>
        <v>0</v>
      </c>
      <c r="V1129" s="229"/>
      <c r="W1129" s="229"/>
      <c r="Y1129" s="223" t="str">
        <f t="shared" si="37"/>
        <v/>
      </c>
    </row>
    <row r="1130" spans="1:25" s="223" customFormat="1" ht="20.25">
      <c r="A1130" s="291"/>
      <c r="B1130" s="292" t="str">
        <f>IF(LEN(A1130)=0,"",INDEX('Smelter Reference List'!$A:$A,MATCH($A1130,'Smelter Reference List'!$E:$E,0)))</f>
        <v/>
      </c>
      <c r="C1130" s="298" t="str">
        <f>IF(LEN(A1130)=0,"",INDEX('Smelter Reference List'!$C:$C,MATCH($A1130,'Smelter Reference List'!$E:$E,0)))</f>
        <v/>
      </c>
      <c r="D1130" s="292" t="str">
        <f ca="1">IF(ISERROR($S1130),"",OFFSET('Smelter Reference List'!$C$4,$S1130-4,0)&amp;"")</f>
        <v/>
      </c>
      <c r="E1130" s="292" t="str">
        <f ca="1">IF(ISERROR($S1130),"",OFFSET('Smelter Reference List'!$D$4,$S1130-4,0)&amp;"")</f>
        <v/>
      </c>
      <c r="F1130" s="292" t="str">
        <f ca="1">IF(ISERROR($S1130),"",OFFSET('Smelter Reference List'!$E$4,$S1130-4,0))</f>
        <v/>
      </c>
      <c r="G1130" s="292" t="str">
        <f ca="1">IF(C1130=$U$4,"Enter smelter details", IF(ISERROR($S1130),"",OFFSET('Smelter Reference List'!$F$4,$S1130-4,0)))</f>
        <v/>
      </c>
      <c r="H1130" s="293" t="str">
        <f ca="1">IF(ISERROR($S1130),"",OFFSET('Smelter Reference List'!$G$4,$S1130-4,0))</f>
        <v/>
      </c>
      <c r="I1130" s="294" t="str">
        <f ca="1">IF(ISERROR($S1130),"",OFFSET('Smelter Reference List'!$H$4,$S1130-4,0))</f>
        <v/>
      </c>
      <c r="J1130" s="294" t="str">
        <f ca="1">IF(ISERROR($S1130),"",OFFSET('Smelter Reference List'!$I$4,$S1130-4,0))</f>
        <v/>
      </c>
      <c r="K1130" s="295"/>
      <c r="L1130" s="295"/>
      <c r="M1130" s="295"/>
      <c r="N1130" s="295"/>
      <c r="O1130" s="295"/>
      <c r="P1130" s="295"/>
      <c r="Q1130" s="296"/>
      <c r="R1130" s="227"/>
      <c r="S1130" s="228" t="e">
        <f>IF(C1130="",NA(),MATCH($B1130&amp;$C1130,'Smelter Reference List'!$J:$J,0))</f>
        <v>#N/A</v>
      </c>
      <c r="T1130" s="229"/>
      <c r="U1130" s="229">
        <f t="shared" ca="1" si="36"/>
        <v>0</v>
      </c>
      <c r="V1130" s="229"/>
      <c r="W1130" s="229"/>
      <c r="Y1130" s="223" t="str">
        <f t="shared" si="37"/>
        <v/>
      </c>
    </row>
    <row r="1131" spans="1:25" s="223" customFormat="1" ht="20.25">
      <c r="A1131" s="291"/>
      <c r="B1131" s="292" t="str">
        <f>IF(LEN(A1131)=0,"",INDEX('Smelter Reference List'!$A:$A,MATCH($A1131,'Smelter Reference List'!$E:$E,0)))</f>
        <v/>
      </c>
      <c r="C1131" s="298" t="str">
        <f>IF(LEN(A1131)=0,"",INDEX('Smelter Reference List'!$C:$C,MATCH($A1131,'Smelter Reference List'!$E:$E,0)))</f>
        <v/>
      </c>
      <c r="D1131" s="292" t="str">
        <f ca="1">IF(ISERROR($S1131),"",OFFSET('Smelter Reference List'!$C$4,$S1131-4,0)&amp;"")</f>
        <v/>
      </c>
      <c r="E1131" s="292" t="str">
        <f ca="1">IF(ISERROR($S1131),"",OFFSET('Smelter Reference List'!$D$4,$S1131-4,0)&amp;"")</f>
        <v/>
      </c>
      <c r="F1131" s="292" t="str">
        <f ca="1">IF(ISERROR($S1131),"",OFFSET('Smelter Reference List'!$E$4,$S1131-4,0))</f>
        <v/>
      </c>
      <c r="G1131" s="292" t="str">
        <f ca="1">IF(C1131=$U$4,"Enter smelter details", IF(ISERROR($S1131),"",OFFSET('Smelter Reference List'!$F$4,$S1131-4,0)))</f>
        <v/>
      </c>
      <c r="H1131" s="293" t="str">
        <f ca="1">IF(ISERROR($S1131),"",OFFSET('Smelter Reference List'!$G$4,$S1131-4,0))</f>
        <v/>
      </c>
      <c r="I1131" s="294" t="str">
        <f ca="1">IF(ISERROR($S1131),"",OFFSET('Smelter Reference List'!$H$4,$S1131-4,0))</f>
        <v/>
      </c>
      <c r="J1131" s="294" t="str">
        <f ca="1">IF(ISERROR($S1131),"",OFFSET('Smelter Reference List'!$I$4,$S1131-4,0))</f>
        <v/>
      </c>
      <c r="K1131" s="295"/>
      <c r="L1131" s="295"/>
      <c r="M1131" s="295"/>
      <c r="N1131" s="295"/>
      <c r="O1131" s="295"/>
      <c r="P1131" s="295"/>
      <c r="Q1131" s="296"/>
      <c r="R1131" s="227"/>
      <c r="S1131" s="228" t="e">
        <f>IF(C1131="",NA(),MATCH($B1131&amp;$C1131,'Smelter Reference List'!$J:$J,0))</f>
        <v>#N/A</v>
      </c>
      <c r="T1131" s="229"/>
      <c r="U1131" s="229">
        <f t="shared" ca="1" si="36"/>
        <v>0</v>
      </c>
      <c r="V1131" s="229"/>
      <c r="W1131" s="229"/>
      <c r="Y1131" s="223" t="str">
        <f t="shared" si="37"/>
        <v/>
      </c>
    </row>
    <row r="1132" spans="1:25" s="223" customFormat="1" ht="20.25">
      <c r="A1132" s="291"/>
      <c r="B1132" s="292" t="str">
        <f>IF(LEN(A1132)=0,"",INDEX('Smelter Reference List'!$A:$A,MATCH($A1132,'Smelter Reference List'!$E:$E,0)))</f>
        <v/>
      </c>
      <c r="C1132" s="298" t="str">
        <f>IF(LEN(A1132)=0,"",INDEX('Smelter Reference List'!$C:$C,MATCH($A1132,'Smelter Reference List'!$E:$E,0)))</f>
        <v/>
      </c>
      <c r="D1132" s="292" t="str">
        <f ca="1">IF(ISERROR($S1132),"",OFFSET('Smelter Reference List'!$C$4,$S1132-4,0)&amp;"")</f>
        <v/>
      </c>
      <c r="E1132" s="292" t="str">
        <f ca="1">IF(ISERROR($S1132),"",OFFSET('Smelter Reference List'!$D$4,$S1132-4,0)&amp;"")</f>
        <v/>
      </c>
      <c r="F1132" s="292" t="str">
        <f ca="1">IF(ISERROR($S1132),"",OFFSET('Smelter Reference List'!$E$4,$S1132-4,0))</f>
        <v/>
      </c>
      <c r="G1132" s="292" t="str">
        <f ca="1">IF(C1132=$U$4,"Enter smelter details", IF(ISERROR($S1132),"",OFFSET('Smelter Reference List'!$F$4,$S1132-4,0)))</f>
        <v/>
      </c>
      <c r="H1132" s="293" t="str">
        <f ca="1">IF(ISERROR($S1132),"",OFFSET('Smelter Reference List'!$G$4,$S1132-4,0))</f>
        <v/>
      </c>
      <c r="I1132" s="294" t="str">
        <f ca="1">IF(ISERROR($S1132),"",OFFSET('Smelter Reference List'!$H$4,$S1132-4,0))</f>
        <v/>
      </c>
      <c r="J1132" s="294" t="str">
        <f ca="1">IF(ISERROR($S1132),"",OFFSET('Smelter Reference List'!$I$4,$S1132-4,0))</f>
        <v/>
      </c>
      <c r="K1132" s="295"/>
      <c r="L1132" s="295"/>
      <c r="M1132" s="295"/>
      <c r="N1132" s="295"/>
      <c r="O1132" s="295"/>
      <c r="P1132" s="295"/>
      <c r="Q1132" s="296"/>
      <c r="R1132" s="227"/>
      <c r="S1132" s="228" t="e">
        <f>IF(C1132="",NA(),MATCH($B1132&amp;$C1132,'Smelter Reference List'!$J:$J,0))</f>
        <v>#N/A</v>
      </c>
      <c r="T1132" s="229"/>
      <c r="U1132" s="229">
        <f t="shared" ca="1" si="36"/>
        <v>0</v>
      </c>
      <c r="V1132" s="229"/>
      <c r="W1132" s="229"/>
      <c r="Y1132" s="223" t="str">
        <f t="shared" si="37"/>
        <v/>
      </c>
    </row>
    <row r="1133" spans="1:25" s="223" customFormat="1" ht="20.25">
      <c r="A1133" s="291"/>
      <c r="B1133" s="292" t="str">
        <f>IF(LEN(A1133)=0,"",INDEX('Smelter Reference List'!$A:$A,MATCH($A1133,'Smelter Reference List'!$E:$E,0)))</f>
        <v/>
      </c>
      <c r="C1133" s="298" t="str">
        <f>IF(LEN(A1133)=0,"",INDEX('Smelter Reference List'!$C:$C,MATCH($A1133,'Smelter Reference List'!$E:$E,0)))</f>
        <v/>
      </c>
      <c r="D1133" s="292" t="str">
        <f ca="1">IF(ISERROR($S1133),"",OFFSET('Smelter Reference List'!$C$4,$S1133-4,0)&amp;"")</f>
        <v/>
      </c>
      <c r="E1133" s="292" t="str">
        <f ca="1">IF(ISERROR($S1133),"",OFFSET('Smelter Reference List'!$D$4,$S1133-4,0)&amp;"")</f>
        <v/>
      </c>
      <c r="F1133" s="292" t="str">
        <f ca="1">IF(ISERROR($S1133),"",OFFSET('Smelter Reference List'!$E$4,$S1133-4,0))</f>
        <v/>
      </c>
      <c r="G1133" s="292" t="str">
        <f ca="1">IF(C1133=$U$4,"Enter smelter details", IF(ISERROR($S1133),"",OFFSET('Smelter Reference List'!$F$4,$S1133-4,0)))</f>
        <v/>
      </c>
      <c r="H1133" s="293" t="str">
        <f ca="1">IF(ISERROR($S1133),"",OFFSET('Smelter Reference List'!$G$4,$S1133-4,0))</f>
        <v/>
      </c>
      <c r="I1133" s="294" t="str">
        <f ca="1">IF(ISERROR($S1133),"",OFFSET('Smelter Reference List'!$H$4,$S1133-4,0))</f>
        <v/>
      </c>
      <c r="J1133" s="294" t="str">
        <f ca="1">IF(ISERROR($S1133),"",OFFSET('Smelter Reference List'!$I$4,$S1133-4,0))</f>
        <v/>
      </c>
      <c r="K1133" s="295"/>
      <c r="L1133" s="295"/>
      <c r="M1133" s="295"/>
      <c r="N1133" s="295"/>
      <c r="O1133" s="295"/>
      <c r="P1133" s="295"/>
      <c r="Q1133" s="296"/>
      <c r="R1133" s="227"/>
      <c r="S1133" s="228" t="e">
        <f>IF(C1133="",NA(),MATCH($B1133&amp;$C1133,'Smelter Reference List'!$J:$J,0))</f>
        <v>#N/A</v>
      </c>
      <c r="T1133" s="229"/>
      <c r="U1133" s="229">
        <f t="shared" ca="1" si="36"/>
        <v>0</v>
      </c>
      <c r="V1133" s="229"/>
      <c r="W1133" s="229"/>
      <c r="Y1133" s="223" t="str">
        <f t="shared" si="37"/>
        <v/>
      </c>
    </row>
    <row r="1134" spans="1:25" s="223" customFormat="1" ht="20.25">
      <c r="A1134" s="291"/>
      <c r="B1134" s="292" t="str">
        <f>IF(LEN(A1134)=0,"",INDEX('Smelter Reference List'!$A:$A,MATCH($A1134,'Smelter Reference List'!$E:$E,0)))</f>
        <v/>
      </c>
      <c r="C1134" s="298" t="str">
        <f>IF(LEN(A1134)=0,"",INDEX('Smelter Reference List'!$C:$C,MATCH($A1134,'Smelter Reference List'!$E:$E,0)))</f>
        <v/>
      </c>
      <c r="D1134" s="292" t="str">
        <f ca="1">IF(ISERROR($S1134),"",OFFSET('Smelter Reference List'!$C$4,$S1134-4,0)&amp;"")</f>
        <v/>
      </c>
      <c r="E1134" s="292" t="str">
        <f ca="1">IF(ISERROR($S1134),"",OFFSET('Smelter Reference List'!$D$4,$S1134-4,0)&amp;"")</f>
        <v/>
      </c>
      <c r="F1134" s="292" t="str">
        <f ca="1">IF(ISERROR($S1134),"",OFFSET('Smelter Reference List'!$E$4,$S1134-4,0))</f>
        <v/>
      </c>
      <c r="G1134" s="292" t="str">
        <f ca="1">IF(C1134=$U$4,"Enter smelter details", IF(ISERROR($S1134),"",OFFSET('Smelter Reference List'!$F$4,$S1134-4,0)))</f>
        <v/>
      </c>
      <c r="H1134" s="293" t="str">
        <f ca="1">IF(ISERROR($S1134),"",OFFSET('Smelter Reference List'!$G$4,$S1134-4,0))</f>
        <v/>
      </c>
      <c r="I1134" s="294" t="str">
        <f ca="1">IF(ISERROR($S1134),"",OFFSET('Smelter Reference List'!$H$4,$S1134-4,0))</f>
        <v/>
      </c>
      <c r="J1134" s="294" t="str">
        <f ca="1">IF(ISERROR($S1134),"",OFFSET('Smelter Reference List'!$I$4,$S1134-4,0))</f>
        <v/>
      </c>
      <c r="K1134" s="295"/>
      <c r="L1134" s="295"/>
      <c r="M1134" s="295"/>
      <c r="N1134" s="295"/>
      <c r="O1134" s="295"/>
      <c r="P1134" s="295"/>
      <c r="Q1134" s="296"/>
      <c r="R1134" s="227"/>
      <c r="S1134" s="228" t="e">
        <f>IF(C1134="",NA(),MATCH($B1134&amp;$C1134,'Smelter Reference List'!$J:$J,0))</f>
        <v>#N/A</v>
      </c>
      <c r="T1134" s="229"/>
      <c r="U1134" s="229">
        <f t="shared" ca="1" si="36"/>
        <v>0</v>
      </c>
      <c r="V1134" s="229"/>
      <c r="W1134" s="229"/>
      <c r="Y1134" s="223" t="str">
        <f t="shared" si="37"/>
        <v/>
      </c>
    </row>
    <row r="1135" spans="1:25" s="223" customFormat="1" ht="20.25">
      <c r="A1135" s="291"/>
      <c r="B1135" s="292" t="str">
        <f>IF(LEN(A1135)=0,"",INDEX('Smelter Reference List'!$A:$A,MATCH($A1135,'Smelter Reference List'!$E:$E,0)))</f>
        <v/>
      </c>
      <c r="C1135" s="298" t="str">
        <f>IF(LEN(A1135)=0,"",INDEX('Smelter Reference List'!$C:$C,MATCH($A1135,'Smelter Reference List'!$E:$E,0)))</f>
        <v/>
      </c>
      <c r="D1135" s="292" t="str">
        <f ca="1">IF(ISERROR($S1135),"",OFFSET('Smelter Reference List'!$C$4,$S1135-4,0)&amp;"")</f>
        <v/>
      </c>
      <c r="E1135" s="292" t="str">
        <f ca="1">IF(ISERROR($S1135),"",OFFSET('Smelter Reference List'!$D$4,$S1135-4,0)&amp;"")</f>
        <v/>
      </c>
      <c r="F1135" s="292" t="str">
        <f ca="1">IF(ISERROR($S1135),"",OFFSET('Smelter Reference List'!$E$4,$S1135-4,0))</f>
        <v/>
      </c>
      <c r="G1135" s="292" t="str">
        <f ca="1">IF(C1135=$U$4,"Enter smelter details", IF(ISERROR($S1135),"",OFFSET('Smelter Reference List'!$F$4,$S1135-4,0)))</f>
        <v/>
      </c>
      <c r="H1135" s="293" t="str">
        <f ca="1">IF(ISERROR($S1135),"",OFFSET('Smelter Reference List'!$G$4,$S1135-4,0))</f>
        <v/>
      </c>
      <c r="I1135" s="294" t="str">
        <f ca="1">IF(ISERROR($S1135),"",OFFSET('Smelter Reference List'!$H$4,$S1135-4,0))</f>
        <v/>
      </c>
      <c r="J1135" s="294" t="str">
        <f ca="1">IF(ISERROR($S1135),"",OFFSET('Smelter Reference List'!$I$4,$S1135-4,0))</f>
        <v/>
      </c>
      <c r="K1135" s="295"/>
      <c r="L1135" s="295"/>
      <c r="M1135" s="295"/>
      <c r="N1135" s="295"/>
      <c r="O1135" s="295"/>
      <c r="P1135" s="295"/>
      <c r="Q1135" s="296"/>
      <c r="R1135" s="227"/>
      <c r="S1135" s="228" t="e">
        <f>IF(C1135="",NA(),MATCH($B1135&amp;$C1135,'Smelter Reference List'!$J:$J,0))</f>
        <v>#N/A</v>
      </c>
      <c r="T1135" s="229"/>
      <c r="U1135" s="229">
        <f t="shared" ca="1" si="36"/>
        <v>0</v>
      </c>
      <c r="V1135" s="229"/>
      <c r="W1135" s="229"/>
      <c r="Y1135" s="223" t="str">
        <f t="shared" si="37"/>
        <v/>
      </c>
    </row>
    <row r="1136" spans="1:25" s="223" customFormat="1" ht="20.25">
      <c r="A1136" s="291"/>
      <c r="B1136" s="292" t="str">
        <f>IF(LEN(A1136)=0,"",INDEX('Smelter Reference List'!$A:$A,MATCH($A1136,'Smelter Reference List'!$E:$E,0)))</f>
        <v/>
      </c>
      <c r="C1136" s="298" t="str">
        <f>IF(LEN(A1136)=0,"",INDEX('Smelter Reference List'!$C:$C,MATCH($A1136,'Smelter Reference List'!$E:$E,0)))</f>
        <v/>
      </c>
      <c r="D1136" s="292" t="str">
        <f ca="1">IF(ISERROR($S1136),"",OFFSET('Smelter Reference List'!$C$4,$S1136-4,0)&amp;"")</f>
        <v/>
      </c>
      <c r="E1136" s="292" t="str">
        <f ca="1">IF(ISERROR($S1136),"",OFFSET('Smelter Reference List'!$D$4,$S1136-4,0)&amp;"")</f>
        <v/>
      </c>
      <c r="F1136" s="292" t="str">
        <f ca="1">IF(ISERROR($S1136),"",OFFSET('Smelter Reference List'!$E$4,$S1136-4,0))</f>
        <v/>
      </c>
      <c r="G1136" s="292" t="str">
        <f ca="1">IF(C1136=$U$4,"Enter smelter details", IF(ISERROR($S1136),"",OFFSET('Smelter Reference List'!$F$4,$S1136-4,0)))</f>
        <v/>
      </c>
      <c r="H1136" s="293" t="str">
        <f ca="1">IF(ISERROR($S1136),"",OFFSET('Smelter Reference List'!$G$4,$S1136-4,0))</f>
        <v/>
      </c>
      <c r="I1136" s="294" t="str">
        <f ca="1">IF(ISERROR($S1136),"",OFFSET('Smelter Reference List'!$H$4,$S1136-4,0))</f>
        <v/>
      </c>
      <c r="J1136" s="294" t="str">
        <f ca="1">IF(ISERROR($S1136),"",OFFSET('Smelter Reference List'!$I$4,$S1136-4,0))</f>
        <v/>
      </c>
      <c r="K1136" s="295"/>
      <c r="L1136" s="295"/>
      <c r="M1136" s="295"/>
      <c r="N1136" s="295"/>
      <c r="O1136" s="295"/>
      <c r="P1136" s="295"/>
      <c r="Q1136" s="296"/>
      <c r="R1136" s="227"/>
      <c r="S1136" s="228" t="e">
        <f>IF(C1136="",NA(),MATCH($B1136&amp;$C1136,'Smelter Reference List'!$J:$J,0))</f>
        <v>#N/A</v>
      </c>
      <c r="T1136" s="229"/>
      <c r="U1136" s="229">
        <f t="shared" ca="1" si="36"/>
        <v>0</v>
      </c>
      <c r="V1136" s="229"/>
      <c r="W1136" s="229"/>
      <c r="Y1136" s="223" t="str">
        <f t="shared" si="37"/>
        <v/>
      </c>
    </row>
    <row r="1137" spans="1:25" s="223" customFormat="1" ht="20.25">
      <c r="A1137" s="291"/>
      <c r="B1137" s="292" t="str">
        <f>IF(LEN(A1137)=0,"",INDEX('Smelter Reference List'!$A:$A,MATCH($A1137,'Smelter Reference List'!$E:$E,0)))</f>
        <v/>
      </c>
      <c r="C1137" s="298" t="str">
        <f>IF(LEN(A1137)=0,"",INDEX('Smelter Reference List'!$C:$C,MATCH($A1137,'Smelter Reference List'!$E:$E,0)))</f>
        <v/>
      </c>
      <c r="D1137" s="292" t="str">
        <f ca="1">IF(ISERROR($S1137),"",OFFSET('Smelter Reference List'!$C$4,$S1137-4,0)&amp;"")</f>
        <v/>
      </c>
      <c r="E1137" s="292" t="str">
        <f ca="1">IF(ISERROR($S1137),"",OFFSET('Smelter Reference List'!$D$4,$S1137-4,0)&amp;"")</f>
        <v/>
      </c>
      <c r="F1137" s="292" t="str">
        <f ca="1">IF(ISERROR($S1137),"",OFFSET('Smelter Reference List'!$E$4,$S1137-4,0))</f>
        <v/>
      </c>
      <c r="G1137" s="292" t="str">
        <f ca="1">IF(C1137=$U$4,"Enter smelter details", IF(ISERROR($S1137),"",OFFSET('Smelter Reference List'!$F$4,$S1137-4,0)))</f>
        <v/>
      </c>
      <c r="H1137" s="293" t="str">
        <f ca="1">IF(ISERROR($S1137),"",OFFSET('Smelter Reference List'!$G$4,$S1137-4,0))</f>
        <v/>
      </c>
      <c r="I1137" s="294" t="str">
        <f ca="1">IF(ISERROR($S1137),"",OFFSET('Smelter Reference List'!$H$4,$S1137-4,0))</f>
        <v/>
      </c>
      <c r="J1137" s="294" t="str">
        <f ca="1">IF(ISERROR($S1137),"",OFFSET('Smelter Reference List'!$I$4,$S1137-4,0))</f>
        <v/>
      </c>
      <c r="K1137" s="295"/>
      <c r="L1137" s="295"/>
      <c r="M1137" s="295"/>
      <c r="N1137" s="295"/>
      <c r="O1137" s="295"/>
      <c r="P1137" s="295"/>
      <c r="Q1137" s="296"/>
      <c r="R1137" s="227"/>
      <c r="S1137" s="228" t="e">
        <f>IF(C1137="",NA(),MATCH($B1137&amp;$C1137,'Smelter Reference List'!$J:$J,0))</f>
        <v>#N/A</v>
      </c>
      <c r="T1137" s="229"/>
      <c r="U1137" s="229">
        <f t="shared" ca="1" si="36"/>
        <v>0</v>
      </c>
      <c r="V1137" s="229"/>
      <c r="W1137" s="229"/>
      <c r="Y1137" s="223" t="str">
        <f t="shared" si="37"/>
        <v/>
      </c>
    </row>
    <row r="1138" spans="1:25" s="223" customFormat="1" ht="20.25">
      <c r="A1138" s="291"/>
      <c r="B1138" s="292" t="str">
        <f>IF(LEN(A1138)=0,"",INDEX('Smelter Reference List'!$A:$A,MATCH($A1138,'Smelter Reference List'!$E:$E,0)))</f>
        <v/>
      </c>
      <c r="C1138" s="298" t="str">
        <f>IF(LEN(A1138)=0,"",INDEX('Smelter Reference List'!$C:$C,MATCH($A1138,'Smelter Reference List'!$E:$E,0)))</f>
        <v/>
      </c>
      <c r="D1138" s="292" t="str">
        <f ca="1">IF(ISERROR($S1138),"",OFFSET('Smelter Reference List'!$C$4,$S1138-4,0)&amp;"")</f>
        <v/>
      </c>
      <c r="E1138" s="292" t="str">
        <f ca="1">IF(ISERROR($S1138),"",OFFSET('Smelter Reference List'!$D$4,$S1138-4,0)&amp;"")</f>
        <v/>
      </c>
      <c r="F1138" s="292" t="str">
        <f ca="1">IF(ISERROR($S1138),"",OFFSET('Smelter Reference List'!$E$4,$S1138-4,0))</f>
        <v/>
      </c>
      <c r="G1138" s="292" t="str">
        <f ca="1">IF(C1138=$U$4,"Enter smelter details", IF(ISERROR($S1138),"",OFFSET('Smelter Reference List'!$F$4,$S1138-4,0)))</f>
        <v/>
      </c>
      <c r="H1138" s="293" t="str">
        <f ca="1">IF(ISERROR($S1138),"",OFFSET('Smelter Reference List'!$G$4,$S1138-4,0))</f>
        <v/>
      </c>
      <c r="I1138" s="294" t="str">
        <f ca="1">IF(ISERROR($S1138),"",OFFSET('Smelter Reference List'!$H$4,$S1138-4,0))</f>
        <v/>
      </c>
      <c r="J1138" s="294" t="str">
        <f ca="1">IF(ISERROR($S1138),"",OFFSET('Smelter Reference List'!$I$4,$S1138-4,0))</f>
        <v/>
      </c>
      <c r="K1138" s="295"/>
      <c r="L1138" s="295"/>
      <c r="M1138" s="295"/>
      <c r="N1138" s="295"/>
      <c r="O1138" s="295"/>
      <c r="P1138" s="295"/>
      <c r="Q1138" s="296"/>
      <c r="R1138" s="227"/>
      <c r="S1138" s="228" t="e">
        <f>IF(C1138="",NA(),MATCH($B1138&amp;$C1138,'Smelter Reference List'!$J:$J,0))</f>
        <v>#N/A</v>
      </c>
      <c r="T1138" s="229"/>
      <c r="U1138" s="229">
        <f t="shared" ca="1" si="36"/>
        <v>0</v>
      </c>
      <c r="V1138" s="229"/>
      <c r="W1138" s="229"/>
      <c r="Y1138" s="223" t="str">
        <f t="shared" si="37"/>
        <v/>
      </c>
    </row>
    <row r="1139" spans="1:25" s="223" customFormat="1" ht="20.25">
      <c r="A1139" s="291"/>
      <c r="B1139" s="292" t="str">
        <f>IF(LEN(A1139)=0,"",INDEX('Smelter Reference List'!$A:$A,MATCH($A1139,'Smelter Reference List'!$E:$E,0)))</f>
        <v/>
      </c>
      <c r="C1139" s="298" t="str">
        <f>IF(LEN(A1139)=0,"",INDEX('Smelter Reference List'!$C:$C,MATCH($A1139,'Smelter Reference List'!$E:$E,0)))</f>
        <v/>
      </c>
      <c r="D1139" s="292" t="str">
        <f ca="1">IF(ISERROR($S1139),"",OFFSET('Smelter Reference List'!$C$4,$S1139-4,0)&amp;"")</f>
        <v/>
      </c>
      <c r="E1139" s="292" t="str">
        <f ca="1">IF(ISERROR($S1139),"",OFFSET('Smelter Reference List'!$D$4,$S1139-4,0)&amp;"")</f>
        <v/>
      </c>
      <c r="F1139" s="292" t="str">
        <f ca="1">IF(ISERROR($S1139),"",OFFSET('Smelter Reference List'!$E$4,$S1139-4,0))</f>
        <v/>
      </c>
      <c r="G1139" s="292" t="str">
        <f ca="1">IF(C1139=$U$4,"Enter smelter details", IF(ISERROR($S1139),"",OFFSET('Smelter Reference List'!$F$4,$S1139-4,0)))</f>
        <v/>
      </c>
      <c r="H1139" s="293" t="str">
        <f ca="1">IF(ISERROR($S1139),"",OFFSET('Smelter Reference List'!$G$4,$S1139-4,0))</f>
        <v/>
      </c>
      <c r="I1139" s="294" t="str">
        <f ca="1">IF(ISERROR($S1139),"",OFFSET('Smelter Reference List'!$H$4,$S1139-4,0))</f>
        <v/>
      </c>
      <c r="J1139" s="294" t="str">
        <f ca="1">IF(ISERROR($S1139),"",OFFSET('Smelter Reference List'!$I$4,$S1139-4,0))</f>
        <v/>
      </c>
      <c r="K1139" s="295"/>
      <c r="L1139" s="295"/>
      <c r="M1139" s="295"/>
      <c r="N1139" s="295"/>
      <c r="O1139" s="295"/>
      <c r="P1139" s="295"/>
      <c r="Q1139" s="296"/>
      <c r="R1139" s="227"/>
      <c r="S1139" s="228" t="e">
        <f>IF(C1139="",NA(),MATCH($B1139&amp;$C1139,'Smelter Reference List'!$J:$J,0))</f>
        <v>#N/A</v>
      </c>
      <c r="T1139" s="229"/>
      <c r="U1139" s="229">
        <f t="shared" ca="1" si="36"/>
        <v>0</v>
      </c>
      <c r="V1139" s="229"/>
      <c r="W1139" s="229"/>
      <c r="Y1139" s="223" t="str">
        <f t="shared" si="37"/>
        <v/>
      </c>
    </row>
    <row r="1140" spans="1:25" s="223" customFormat="1" ht="20.25">
      <c r="A1140" s="291"/>
      <c r="B1140" s="292" t="str">
        <f>IF(LEN(A1140)=0,"",INDEX('Smelter Reference List'!$A:$A,MATCH($A1140,'Smelter Reference List'!$E:$E,0)))</f>
        <v/>
      </c>
      <c r="C1140" s="298" t="str">
        <f>IF(LEN(A1140)=0,"",INDEX('Smelter Reference List'!$C:$C,MATCH($A1140,'Smelter Reference List'!$E:$E,0)))</f>
        <v/>
      </c>
      <c r="D1140" s="292" t="str">
        <f ca="1">IF(ISERROR($S1140),"",OFFSET('Smelter Reference List'!$C$4,$S1140-4,0)&amp;"")</f>
        <v/>
      </c>
      <c r="E1140" s="292" t="str">
        <f ca="1">IF(ISERROR($S1140),"",OFFSET('Smelter Reference List'!$D$4,$S1140-4,0)&amp;"")</f>
        <v/>
      </c>
      <c r="F1140" s="292" t="str">
        <f ca="1">IF(ISERROR($S1140),"",OFFSET('Smelter Reference List'!$E$4,$S1140-4,0))</f>
        <v/>
      </c>
      <c r="G1140" s="292" t="str">
        <f ca="1">IF(C1140=$U$4,"Enter smelter details", IF(ISERROR($S1140),"",OFFSET('Smelter Reference List'!$F$4,$S1140-4,0)))</f>
        <v/>
      </c>
      <c r="H1140" s="293" t="str">
        <f ca="1">IF(ISERROR($S1140),"",OFFSET('Smelter Reference List'!$G$4,$S1140-4,0))</f>
        <v/>
      </c>
      <c r="I1140" s="294" t="str">
        <f ca="1">IF(ISERROR($S1140),"",OFFSET('Smelter Reference List'!$H$4,$S1140-4,0))</f>
        <v/>
      </c>
      <c r="J1140" s="294" t="str">
        <f ca="1">IF(ISERROR($S1140),"",OFFSET('Smelter Reference List'!$I$4,$S1140-4,0))</f>
        <v/>
      </c>
      <c r="K1140" s="295"/>
      <c r="L1140" s="295"/>
      <c r="M1140" s="295"/>
      <c r="N1140" s="295"/>
      <c r="O1140" s="295"/>
      <c r="P1140" s="295"/>
      <c r="Q1140" s="296"/>
      <c r="R1140" s="227"/>
      <c r="S1140" s="228" t="e">
        <f>IF(C1140="",NA(),MATCH($B1140&amp;$C1140,'Smelter Reference List'!$J:$J,0))</f>
        <v>#N/A</v>
      </c>
      <c r="T1140" s="229"/>
      <c r="U1140" s="229">
        <f t="shared" ca="1" si="36"/>
        <v>0</v>
      </c>
      <c r="V1140" s="229"/>
      <c r="W1140" s="229"/>
      <c r="Y1140" s="223" t="str">
        <f t="shared" si="37"/>
        <v/>
      </c>
    </row>
    <row r="1141" spans="1:25" s="223" customFormat="1" ht="20.25">
      <c r="A1141" s="291"/>
      <c r="B1141" s="292" t="str">
        <f>IF(LEN(A1141)=0,"",INDEX('Smelter Reference List'!$A:$A,MATCH($A1141,'Smelter Reference List'!$E:$E,0)))</f>
        <v/>
      </c>
      <c r="C1141" s="298" t="str">
        <f>IF(LEN(A1141)=0,"",INDEX('Smelter Reference List'!$C:$C,MATCH($A1141,'Smelter Reference List'!$E:$E,0)))</f>
        <v/>
      </c>
      <c r="D1141" s="292" t="str">
        <f ca="1">IF(ISERROR($S1141),"",OFFSET('Smelter Reference List'!$C$4,$S1141-4,0)&amp;"")</f>
        <v/>
      </c>
      <c r="E1141" s="292" t="str">
        <f ca="1">IF(ISERROR($S1141),"",OFFSET('Smelter Reference List'!$D$4,$S1141-4,0)&amp;"")</f>
        <v/>
      </c>
      <c r="F1141" s="292" t="str">
        <f ca="1">IF(ISERROR($S1141),"",OFFSET('Smelter Reference List'!$E$4,$S1141-4,0))</f>
        <v/>
      </c>
      <c r="G1141" s="292" t="str">
        <f ca="1">IF(C1141=$U$4,"Enter smelter details", IF(ISERROR($S1141),"",OFFSET('Smelter Reference List'!$F$4,$S1141-4,0)))</f>
        <v/>
      </c>
      <c r="H1141" s="293" t="str">
        <f ca="1">IF(ISERROR($S1141),"",OFFSET('Smelter Reference List'!$G$4,$S1141-4,0))</f>
        <v/>
      </c>
      <c r="I1141" s="294" t="str">
        <f ca="1">IF(ISERROR($S1141),"",OFFSET('Smelter Reference List'!$H$4,$S1141-4,0))</f>
        <v/>
      </c>
      <c r="J1141" s="294" t="str">
        <f ca="1">IF(ISERROR($S1141),"",OFFSET('Smelter Reference List'!$I$4,$S1141-4,0))</f>
        <v/>
      </c>
      <c r="K1141" s="295"/>
      <c r="L1141" s="295"/>
      <c r="M1141" s="295"/>
      <c r="N1141" s="295"/>
      <c r="O1141" s="295"/>
      <c r="P1141" s="295"/>
      <c r="Q1141" s="296"/>
      <c r="R1141" s="227"/>
      <c r="S1141" s="228" t="e">
        <f>IF(C1141="",NA(),MATCH($B1141&amp;$C1141,'Smelter Reference List'!$J:$J,0))</f>
        <v>#N/A</v>
      </c>
      <c r="T1141" s="229"/>
      <c r="U1141" s="229">
        <f t="shared" ca="1" si="36"/>
        <v>0</v>
      </c>
      <c r="V1141" s="229"/>
      <c r="W1141" s="229"/>
      <c r="Y1141" s="223" t="str">
        <f t="shared" si="37"/>
        <v/>
      </c>
    </row>
    <row r="1142" spans="1:25" s="223" customFormat="1" ht="20.25">
      <c r="A1142" s="291"/>
      <c r="B1142" s="292" t="str">
        <f>IF(LEN(A1142)=0,"",INDEX('Smelter Reference List'!$A:$A,MATCH($A1142,'Smelter Reference List'!$E:$E,0)))</f>
        <v/>
      </c>
      <c r="C1142" s="298" t="str">
        <f>IF(LEN(A1142)=0,"",INDEX('Smelter Reference List'!$C:$C,MATCH($A1142,'Smelter Reference List'!$E:$E,0)))</f>
        <v/>
      </c>
      <c r="D1142" s="292" t="str">
        <f ca="1">IF(ISERROR($S1142),"",OFFSET('Smelter Reference List'!$C$4,$S1142-4,0)&amp;"")</f>
        <v/>
      </c>
      <c r="E1142" s="292" t="str">
        <f ca="1">IF(ISERROR($S1142),"",OFFSET('Smelter Reference List'!$D$4,$S1142-4,0)&amp;"")</f>
        <v/>
      </c>
      <c r="F1142" s="292" t="str">
        <f ca="1">IF(ISERROR($S1142),"",OFFSET('Smelter Reference List'!$E$4,$S1142-4,0))</f>
        <v/>
      </c>
      <c r="G1142" s="292" t="str">
        <f ca="1">IF(C1142=$U$4,"Enter smelter details", IF(ISERROR($S1142),"",OFFSET('Smelter Reference List'!$F$4,$S1142-4,0)))</f>
        <v/>
      </c>
      <c r="H1142" s="293" t="str">
        <f ca="1">IF(ISERROR($S1142),"",OFFSET('Smelter Reference List'!$G$4,$S1142-4,0))</f>
        <v/>
      </c>
      <c r="I1142" s="294" t="str">
        <f ca="1">IF(ISERROR($S1142),"",OFFSET('Smelter Reference List'!$H$4,$S1142-4,0))</f>
        <v/>
      </c>
      <c r="J1142" s="294" t="str">
        <f ca="1">IF(ISERROR($S1142),"",OFFSET('Smelter Reference List'!$I$4,$S1142-4,0))</f>
        <v/>
      </c>
      <c r="K1142" s="295"/>
      <c r="L1142" s="295"/>
      <c r="M1142" s="295"/>
      <c r="N1142" s="295"/>
      <c r="O1142" s="295"/>
      <c r="P1142" s="295"/>
      <c r="Q1142" s="296"/>
      <c r="R1142" s="227"/>
      <c r="S1142" s="228" t="e">
        <f>IF(C1142="",NA(),MATCH($B1142&amp;$C1142,'Smelter Reference List'!$J:$J,0))</f>
        <v>#N/A</v>
      </c>
      <c r="T1142" s="229"/>
      <c r="U1142" s="229">
        <f t="shared" ca="1" si="36"/>
        <v>0</v>
      </c>
      <c r="V1142" s="229"/>
      <c r="W1142" s="229"/>
      <c r="Y1142" s="223" t="str">
        <f t="shared" si="37"/>
        <v/>
      </c>
    </row>
    <row r="1143" spans="1:25" s="223" customFormat="1" ht="20.25">
      <c r="A1143" s="291"/>
      <c r="B1143" s="292" t="str">
        <f>IF(LEN(A1143)=0,"",INDEX('Smelter Reference List'!$A:$A,MATCH($A1143,'Smelter Reference List'!$E:$E,0)))</f>
        <v/>
      </c>
      <c r="C1143" s="298" t="str">
        <f>IF(LEN(A1143)=0,"",INDEX('Smelter Reference List'!$C:$C,MATCH($A1143,'Smelter Reference List'!$E:$E,0)))</f>
        <v/>
      </c>
      <c r="D1143" s="292" t="str">
        <f ca="1">IF(ISERROR($S1143),"",OFFSET('Smelter Reference List'!$C$4,$S1143-4,0)&amp;"")</f>
        <v/>
      </c>
      <c r="E1143" s="292" t="str">
        <f ca="1">IF(ISERROR($S1143),"",OFFSET('Smelter Reference List'!$D$4,$S1143-4,0)&amp;"")</f>
        <v/>
      </c>
      <c r="F1143" s="292" t="str">
        <f ca="1">IF(ISERROR($S1143),"",OFFSET('Smelter Reference List'!$E$4,$S1143-4,0))</f>
        <v/>
      </c>
      <c r="G1143" s="292" t="str">
        <f ca="1">IF(C1143=$U$4,"Enter smelter details", IF(ISERROR($S1143),"",OFFSET('Smelter Reference List'!$F$4,$S1143-4,0)))</f>
        <v/>
      </c>
      <c r="H1143" s="293" t="str">
        <f ca="1">IF(ISERROR($S1143),"",OFFSET('Smelter Reference List'!$G$4,$S1143-4,0))</f>
        <v/>
      </c>
      <c r="I1143" s="294" t="str">
        <f ca="1">IF(ISERROR($S1143),"",OFFSET('Smelter Reference List'!$H$4,$S1143-4,0))</f>
        <v/>
      </c>
      <c r="J1143" s="294" t="str">
        <f ca="1">IF(ISERROR($S1143),"",OFFSET('Smelter Reference List'!$I$4,$S1143-4,0))</f>
        <v/>
      </c>
      <c r="K1143" s="295"/>
      <c r="L1143" s="295"/>
      <c r="M1143" s="295"/>
      <c r="N1143" s="295"/>
      <c r="O1143" s="295"/>
      <c r="P1143" s="295"/>
      <c r="Q1143" s="296"/>
      <c r="R1143" s="227"/>
      <c r="S1143" s="228" t="e">
        <f>IF(C1143="",NA(),MATCH($B1143&amp;$C1143,'Smelter Reference List'!$J:$J,0))</f>
        <v>#N/A</v>
      </c>
      <c r="T1143" s="229"/>
      <c r="U1143" s="229">
        <f t="shared" ca="1" si="36"/>
        <v>0</v>
      </c>
      <c r="V1143" s="229"/>
      <c r="W1143" s="229"/>
      <c r="Y1143" s="223" t="str">
        <f t="shared" si="37"/>
        <v/>
      </c>
    </row>
    <row r="1144" spans="1:25" s="223" customFormat="1" ht="20.25">
      <c r="A1144" s="291"/>
      <c r="B1144" s="292" t="str">
        <f>IF(LEN(A1144)=0,"",INDEX('Smelter Reference List'!$A:$A,MATCH($A1144,'Smelter Reference List'!$E:$E,0)))</f>
        <v/>
      </c>
      <c r="C1144" s="298" t="str">
        <f>IF(LEN(A1144)=0,"",INDEX('Smelter Reference List'!$C:$C,MATCH($A1144,'Smelter Reference List'!$E:$E,0)))</f>
        <v/>
      </c>
      <c r="D1144" s="292" t="str">
        <f ca="1">IF(ISERROR($S1144),"",OFFSET('Smelter Reference List'!$C$4,$S1144-4,0)&amp;"")</f>
        <v/>
      </c>
      <c r="E1144" s="292" t="str">
        <f ca="1">IF(ISERROR($S1144),"",OFFSET('Smelter Reference List'!$D$4,$S1144-4,0)&amp;"")</f>
        <v/>
      </c>
      <c r="F1144" s="292" t="str">
        <f ca="1">IF(ISERROR($S1144),"",OFFSET('Smelter Reference List'!$E$4,$S1144-4,0))</f>
        <v/>
      </c>
      <c r="G1144" s="292" t="str">
        <f ca="1">IF(C1144=$U$4,"Enter smelter details", IF(ISERROR($S1144),"",OFFSET('Smelter Reference List'!$F$4,$S1144-4,0)))</f>
        <v/>
      </c>
      <c r="H1144" s="293" t="str">
        <f ca="1">IF(ISERROR($S1144),"",OFFSET('Smelter Reference List'!$G$4,$S1144-4,0))</f>
        <v/>
      </c>
      <c r="I1144" s="294" t="str">
        <f ca="1">IF(ISERROR($S1144),"",OFFSET('Smelter Reference List'!$H$4,$S1144-4,0))</f>
        <v/>
      </c>
      <c r="J1144" s="294" t="str">
        <f ca="1">IF(ISERROR($S1144),"",OFFSET('Smelter Reference List'!$I$4,$S1144-4,0))</f>
        <v/>
      </c>
      <c r="K1144" s="295"/>
      <c r="L1144" s="295"/>
      <c r="M1144" s="295"/>
      <c r="N1144" s="295"/>
      <c r="O1144" s="295"/>
      <c r="P1144" s="295"/>
      <c r="Q1144" s="296"/>
      <c r="R1144" s="227"/>
      <c r="S1144" s="228" t="e">
        <f>IF(C1144="",NA(),MATCH($B1144&amp;$C1144,'Smelter Reference List'!$J:$J,0))</f>
        <v>#N/A</v>
      </c>
      <c r="T1144" s="229"/>
      <c r="U1144" s="229">
        <f t="shared" ca="1" si="36"/>
        <v>0</v>
      </c>
      <c r="V1144" s="229"/>
      <c r="W1144" s="229"/>
      <c r="Y1144" s="223" t="str">
        <f t="shared" si="37"/>
        <v/>
      </c>
    </row>
    <row r="1145" spans="1:25" s="223" customFormat="1" ht="20.25">
      <c r="A1145" s="291"/>
      <c r="B1145" s="292" t="str">
        <f>IF(LEN(A1145)=0,"",INDEX('Smelter Reference List'!$A:$A,MATCH($A1145,'Smelter Reference List'!$E:$E,0)))</f>
        <v/>
      </c>
      <c r="C1145" s="298" t="str">
        <f>IF(LEN(A1145)=0,"",INDEX('Smelter Reference List'!$C:$C,MATCH($A1145,'Smelter Reference List'!$E:$E,0)))</f>
        <v/>
      </c>
      <c r="D1145" s="292" t="str">
        <f ca="1">IF(ISERROR($S1145),"",OFFSET('Smelter Reference List'!$C$4,$S1145-4,0)&amp;"")</f>
        <v/>
      </c>
      <c r="E1145" s="292" t="str">
        <f ca="1">IF(ISERROR($S1145),"",OFFSET('Smelter Reference List'!$D$4,$S1145-4,0)&amp;"")</f>
        <v/>
      </c>
      <c r="F1145" s="292" t="str">
        <f ca="1">IF(ISERROR($S1145),"",OFFSET('Smelter Reference List'!$E$4,$S1145-4,0))</f>
        <v/>
      </c>
      <c r="G1145" s="292" t="str">
        <f ca="1">IF(C1145=$U$4,"Enter smelter details", IF(ISERROR($S1145),"",OFFSET('Smelter Reference List'!$F$4,$S1145-4,0)))</f>
        <v/>
      </c>
      <c r="H1145" s="293" t="str">
        <f ca="1">IF(ISERROR($S1145),"",OFFSET('Smelter Reference List'!$G$4,$S1145-4,0))</f>
        <v/>
      </c>
      <c r="I1145" s="294" t="str">
        <f ca="1">IF(ISERROR($S1145),"",OFFSET('Smelter Reference List'!$H$4,$S1145-4,0))</f>
        <v/>
      </c>
      <c r="J1145" s="294" t="str">
        <f ca="1">IF(ISERROR($S1145),"",OFFSET('Smelter Reference List'!$I$4,$S1145-4,0))</f>
        <v/>
      </c>
      <c r="K1145" s="295"/>
      <c r="L1145" s="295"/>
      <c r="M1145" s="295"/>
      <c r="N1145" s="295"/>
      <c r="O1145" s="295"/>
      <c r="P1145" s="295"/>
      <c r="Q1145" s="296"/>
      <c r="R1145" s="227"/>
      <c r="S1145" s="228" t="e">
        <f>IF(C1145="",NA(),MATCH($B1145&amp;$C1145,'Smelter Reference List'!$J:$J,0))</f>
        <v>#N/A</v>
      </c>
      <c r="T1145" s="229"/>
      <c r="U1145" s="229">
        <f t="shared" ca="1" si="36"/>
        <v>0</v>
      </c>
      <c r="V1145" s="229"/>
      <c r="W1145" s="229"/>
      <c r="Y1145" s="223" t="str">
        <f t="shared" si="37"/>
        <v/>
      </c>
    </row>
    <row r="1146" spans="1:25" s="223" customFormat="1" ht="20.25">
      <c r="A1146" s="291"/>
      <c r="B1146" s="292" t="str">
        <f>IF(LEN(A1146)=0,"",INDEX('Smelter Reference List'!$A:$A,MATCH($A1146,'Smelter Reference List'!$E:$E,0)))</f>
        <v/>
      </c>
      <c r="C1146" s="298" t="str">
        <f>IF(LEN(A1146)=0,"",INDEX('Smelter Reference List'!$C:$C,MATCH($A1146,'Smelter Reference List'!$E:$E,0)))</f>
        <v/>
      </c>
      <c r="D1146" s="292" t="str">
        <f ca="1">IF(ISERROR($S1146),"",OFFSET('Smelter Reference List'!$C$4,$S1146-4,0)&amp;"")</f>
        <v/>
      </c>
      <c r="E1146" s="292" t="str">
        <f ca="1">IF(ISERROR($S1146),"",OFFSET('Smelter Reference List'!$D$4,$S1146-4,0)&amp;"")</f>
        <v/>
      </c>
      <c r="F1146" s="292" t="str">
        <f ca="1">IF(ISERROR($S1146),"",OFFSET('Smelter Reference List'!$E$4,$S1146-4,0))</f>
        <v/>
      </c>
      <c r="G1146" s="292" t="str">
        <f ca="1">IF(C1146=$U$4,"Enter smelter details", IF(ISERROR($S1146),"",OFFSET('Smelter Reference List'!$F$4,$S1146-4,0)))</f>
        <v/>
      </c>
      <c r="H1146" s="293" t="str">
        <f ca="1">IF(ISERROR($S1146),"",OFFSET('Smelter Reference List'!$G$4,$S1146-4,0))</f>
        <v/>
      </c>
      <c r="I1146" s="294" t="str">
        <f ca="1">IF(ISERROR($S1146),"",OFFSET('Smelter Reference List'!$H$4,$S1146-4,0))</f>
        <v/>
      </c>
      <c r="J1146" s="294" t="str">
        <f ca="1">IF(ISERROR($S1146),"",OFFSET('Smelter Reference List'!$I$4,$S1146-4,0))</f>
        <v/>
      </c>
      <c r="K1146" s="295"/>
      <c r="L1146" s="295"/>
      <c r="M1146" s="295"/>
      <c r="N1146" s="295"/>
      <c r="O1146" s="295"/>
      <c r="P1146" s="295"/>
      <c r="Q1146" s="296"/>
      <c r="R1146" s="227"/>
      <c r="S1146" s="228" t="e">
        <f>IF(C1146="",NA(),MATCH($B1146&amp;$C1146,'Smelter Reference List'!$J:$J,0))</f>
        <v>#N/A</v>
      </c>
      <c r="T1146" s="229"/>
      <c r="U1146" s="229">
        <f t="shared" ca="1" si="36"/>
        <v>0</v>
      </c>
      <c r="V1146" s="229"/>
      <c r="W1146" s="229"/>
      <c r="Y1146" s="223" t="str">
        <f t="shared" si="37"/>
        <v/>
      </c>
    </row>
    <row r="1147" spans="1:25" s="223" customFormat="1" ht="20.25">
      <c r="A1147" s="291"/>
      <c r="B1147" s="292" t="str">
        <f>IF(LEN(A1147)=0,"",INDEX('Smelter Reference List'!$A:$A,MATCH($A1147,'Smelter Reference List'!$E:$E,0)))</f>
        <v/>
      </c>
      <c r="C1147" s="298" t="str">
        <f>IF(LEN(A1147)=0,"",INDEX('Smelter Reference List'!$C:$C,MATCH($A1147,'Smelter Reference List'!$E:$E,0)))</f>
        <v/>
      </c>
      <c r="D1147" s="292" t="str">
        <f ca="1">IF(ISERROR($S1147),"",OFFSET('Smelter Reference List'!$C$4,$S1147-4,0)&amp;"")</f>
        <v/>
      </c>
      <c r="E1147" s="292" t="str">
        <f ca="1">IF(ISERROR($S1147),"",OFFSET('Smelter Reference List'!$D$4,$S1147-4,0)&amp;"")</f>
        <v/>
      </c>
      <c r="F1147" s="292" t="str">
        <f ca="1">IF(ISERROR($S1147),"",OFFSET('Smelter Reference List'!$E$4,$S1147-4,0))</f>
        <v/>
      </c>
      <c r="G1147" s="292" t="str">
        <f ca="1">IF(C1147=$U$4,"Enter smelter details", IF(ISERROR($S1147),"",OFFSET('Smelter Reference List'!$F$4,$S1147-4,0)))</f>
        <v/>
      </c>
      <c r="H1147" s="293" t="str">
        <f ca="1">IF(ISERROR($S1147),"",OFFSET('Smelter Reference List'!$G$4,$S1147-4,0))</f>
        <v/>
      </c>
      <c r="I1147" s="294" t="str">
        <f ca="1">IF(ISERROR($S1147),"",OFFSET('Smelter Reference List'!$H$4,$S1147-4,0))</f>
        <v/>
      </c>
      <c r="J1147" s="294" t="str">
        <f ca="1">IF(ISERROR($S1147),"",OFFSET('Smelter Reference List'!$I$4,$S1147-4,0))</f>
        <v/>
      </c>
      <c r="K1147" s="295"/>
      <c r="L1147" s="295"/>
      <c r="M1147" s="295"/>
      <c r="N1147" s="295"/>
      <c r="O1147" s="295"/>
      <c r="P1147" s="295"/>
      <c r="Q1147" s="296"/>
      <c r="R1147" s="227"/>
      <c r="S1147" s="228" t="e">
        <f>IF(C1147="",NA(),MATCH($B1147&amp;$C1147,'Smelter Reference List'!$J:$J,0))</f>
        <v>#N/A</v>
      </c>
      <c r="T1147" s="229"/>
      <c r="U1147" s="229">
        <f t="shared" ca="1" si="36"/>
        <v>0</v>
      </c>
      <c r="V1147" s="229"/>
      <c r="W1147" s="229"/>
      <c r="Y1147" s="223" t="str">
        <f t="shared" si="37"/>
        <v/>
      </c>
    </row>
    <row r="1148" spans="1:25" s="223" customFormat="1" ht="20.25">
      <c r="A1148" s="291"/>
      <c r="B1148" s="292" t="str">
        <f>IF(LEN(A1148)=0,"",INDEX('Smelter Reference List'!$A:$A,MATCH($A1148,'Smelter Reference List'!$E:$E,0)))</f>
        <v/>
      </c>
      <c r="C1148" s="298" t="str">
        <f>IF(LEN(A1148)=0,"",INDEX('Smelter Reference List'!$C:$C,MATCH($A1148,'Smelter Reference List'!$E:$E,0)))</f>
        <v/>
      </c>
      <c r="D1148" s="292" t="str">
        <f ca="1">IF(ISERROR($S1148),"",OFFSET('Smelter Reference List'!$C$4,$S1148-4,0)&amp;"")</f>
        <v/>
      </c>
      <c r="E1148" s="292" t="str">
        <f ca="1">IF(ISERROR($S1148),"",OFFSET('Smelter Reference List'!$D$4,$S1148-4,0)&amp;"")</f>
        <v/>
      </c>
      <c r="F1148" s="292" t="str">
        <f ca="1">IF(ISERROR($S1148),"",OFFSET('Smelter Reference List'!$E$4,$S1148-4,0))</f>
        <v/>
      </c>
      <c r="G1148" s="292" t="str">
        <f ca="1">IF(C1148=$U$4,"Enter smelter details", IF(ISERROR($S1148),"",OFFSET('Smelter Reference List'!$F$4,$S1148-4,0)))</f>
        <v/>
      </c>
      <c r="H1148" s="293" t="str">
        <f ca="1">IF(ISERROR($S1148),"",OFFSET('Smelter Reference List'!$G$4,$S1148-4,0))</f>
        <v/>
      </c>
      <c r="I1148" s="294" t="str">
        <f ca="1">IF(ISERROR($S1148),"",OFFSET('Smelter Reference List'!$H$4,$S1148-4,0))</f>
        <v/>
      </c>
      <c r="J1148" s="294" t="str">
        <f ca="1">IF(ISERROR($S1148),"",OFFSET('Smelter Reference List'!$I$4,$S1148-4,0))</f>
        <v/>
      </c>
      <c r="K1148" s="295"/>
      <c r="L1148" s="295"/>
      <c r="M1148" s="295"/>
      <c r="N1148" s="295"/>
      <c r="O1148" s="295"/>
      <c r="P1148" s="295"/>
      <c r="Q1148" s="296"/>
      <c r="R1148" s="227"/>
      <c r="S1148" s="228" t="e">
        <f>IF(C1148="",NA(),MATCH($B1148&amp;$C1148,'Smelter Reference List'!$J:$J,0))</f>
        <v>#N/A</v>
      </c>
      <c r="T1148" s="229"/>
      <c r="U1148" s="229">
        <f t="shared" ca="1" si="36"/>
        <v>0</v>
      </c>
      <c r="V1148" s="229"/>
      <c r="W1148" s="229"/>
      <c r="Y1148" s="223" t="str">
        <f t="shared" si="37"/>
        <v/>
      </c>
    </row>
    <row r="1149" spans="1:25" s="223" customFormat="1" ht="20.25">
      <c r="A1149" s="291"/>
      <c r="B1149" s="292" t="str">
        <f>IF(LEN(A1149)=0,"",INDEX('Smelter Reference List'!$A:$A,MATCH($A1149,'Smelter Reference List'!$E:$E,0)))</f>
        <v/>
      </c>
      <c r="C1149" s="298" t="str">
        <f>IF(LEN(A1149)=0,"",INDEX('Smelter Reference List'!$C:$C,MATCH($A1149,'Smelter Reference List'!$E:$E,0)))</f>
        <v/>
      </c>
      <c r="D1149" s="292" t="str">
        <f ca="1">IF(ISERROR($S1149),"",OFFSET('Smelter Reference List'!$C$4,$S1149-4,0)&amp;"")</f>
        <v/>
      </c>
      <c r="E1149" s="292" t="str">
        <f ca="1">IF(ISERROR($S1149),"",OFFSET('Smelter Reference List'!$D$4,$S1149-4,0)&amp;"")</f>
        <v/>
      </c>
      <c r="F1149" s="292" t="str">
        <f ca="1">IF(ISERROR($S1149),"",OFFSET('Smelter Reference List'!$E$4,$S1149-4,0))</f>
        <v/>
      </c>
      <c r="G1149" s="292" t="str">
        <f ca="1">IF(C1149=$U$4,"Enter smelter details", IF(ISERROR($S1149),"",OFFSET('Smelter Reference List'!$F$4,$S1149-4,0)))</f>
        <v/>
      </c>
      <c r="H1149" s="293" t="str">
        <f ca="1">IF(ISERROR($S1149),"",OFFSET('Smelter Reference List'!$G$4,$S1149-4,0))</f>
        <v/>
      </c>
      <c r="I1149" s="294" t="str">
        <f ca="1">IF(ISERROR($S1149),"",OFFSET('Smelter Reference List'!$H$4,$S1149-4,0))</f>
        <v/>
      </c>
      <c r="J1149" s="294" t="str">
        <f ca="1">IF(ISERROR($S1149),"",OFFSET('Smelter Reference List'!$I$4,$S1149-4,0))</f>
        <v/>
      </c>
      <c r="K1149" s="295"/>
      <c r="L1149" s="295"/>
      <c r="M1149" s="295"/>
      <c r="N1149" s="295"/>
      <c r="O1149" s="295"/>
      <c r="P1149" s="295"/>
      <c r="Q1149" s="296"/>
      <c r="R1149" s="227"/>
      <c r="S1149" s="228" t="e">
        <f>IF(C1149="",NA(),MATCH($B1149&amp;$C1149,'Smelter Reference List'!$J:$J,0))</f>
        <v>#N/A</v>
      </c>
      <c r="T1149" s="229"/>
      <c r="U1149" s="229">
        <f t="shared" ca="1" si="36"/>
        <v>0</v>
      </c>
      <c r="V1149" s="229"/>
      <c r="W1149" s="229"/>
      <c r="Y1149" s="223" t="str">
        <f t="shared" si="37"/>
        <v/>
      </c>
    </row>
    <row r="1150" spans="1:25" s="223" customFormat="1" ht="20.25">
      <c r="A1150" s="291"/>
      <c r="B1150" s="292" t="str">
        <f>IF(LEN(A1150)=0,"",INDEX('Smelter Reference List'!$A:$A,MATCH($A1150,'Smelter Reference List'!$E:$E,0)))</f>
        <v/>
      </c>
      <c r="C1150" s="298" t="str">
        <f>IF(LEN(A1150)=0,"",INDEX('Smelter Reference List'!$C:$C,MATCH($A1150,'Smelter Reference List'!$E:$E,0)))</f>
        <v/>
      </c>
      <c r="D1150" s="292" t="str">
        <f ca="1">IF(ISERROR($S1150),"",OFFSET('Smelter Reference List'!$C$4,$S1150-4,0)&amp;"")</f>
        <v/>
      </c>
      <c r="E1150" s="292" t="str">
        <f ca="1">IF(ISERROR($S1150),"",OFFSET('Smelter Reference List'!$D$4,$S1150-4,0)&amp;"")</f>
        <v/>
      </c>
      <c r="F1150" s="292" t="str">
        <f ca="1">IF(ISERROR($S1150),"",OFFSET('Smelter Reference List'!$E$4,$S1150-4,0))</f>
        <v/>
      </c>
      <c r="G1150" s="292" t="str">
        <f ca="1">IF(C1150=$U$4,"Enter smelter details", IF(ISERROR($S1150),"",OFFSET('Smelter Reference List'!$F$4,$S1150-4,0)))</f>
        <v/>
      </c>
      <c r="H1150" s="293" t="str">
        <f ca="1">IF(ISERROR($S1150),"",OFFSET('Smelter Reference List'!$G$4,$S1150-4,0))</f>
        <v/>
      </c>
      <c r="I1150" s="294" t="str">
        <f ca="1">IF(ISERROR($S1150),"",OFFSET('Smelter Reference List'!$H$4,$S1150-4,0))</f>
        <v/>
      </c>
      <c r="J1150" s="294" t="str">
        <f ca="1">IF(ISERROR($S1150),"",OFFSET('Smelter Reference List'!$I$4,$S1150-4,0))</f>
        <v/>
      </c>
      <c r="K1150" s="295"/>
      <c r="L1150" s="295"/>
      <c r="M1150" s="295"/>
      <c r="N1150" s="295"/>
      <c r="O1150" s="295"/>
      <c r="P1150" s="295"/>
      <c r="Q1150" s="296"/>
      <c r="R1150" s="227"/>
      <c r="S1150" s="228" t="e">
        <f>IF(C1150="",NA(),MATCH($B1150&amp;$C1150,'Smelter Reference List'!$J:$J,0))</f>
        <v>#N/A</v>
      </c>
      <c r="T1150" s="229"/>
      <c r="U1150" s="229">
        <f t="shared" ca="1" si="36"/>
        <v>0</v>
      </c>
      <c r="V1150" s="229"/>
      <c r="W1150" s="229"/>
      <c r="Y1150" s="223" t="str">
        <f t="shared" si="37"/>
        <v/>
      </c>
    </row>
    <row r="1151" spans="1:25" s="223" customFormat="1" ht="20.25">
      <c r="A1151" s="291"/>
      <c r="B1151" s="292" t="str">
        <f>IF(LEN(A1151)=0,"",INDEX('Smelter Reference List'!$A:$A,MATCH($A1151,'Smelter Reference List'!$E:$E,0)))</f>
        <v/>
      </c>
      <c r="C1151" s="298" t="str">
        <f>IF(LEN(A1151)=0,"",INDEX('Smelter Reference List'!$C:$C,MATCH($A1151,'Smelter Reference List'!$E:$E,0)))</f>
        <v/>
      </c>
      <c r="D1151" s="292" t="str">
        <f ca="1">IF(ISERROR($S1151),"",OFFSET('Smelter Reference List'!$C$4,$S1151-4,0)&amp;"")</f>
        <v/>
      </c>
      <c r="E1151" s="292" t="str">
        <f ca="1">IF(ISERROR($S1151),"",OFFSET('Smelter Reference List'!$D$4,$S1151-4,0)&amp;"")</f>
        <v/>
      </c>
      <c r="F1151" s="292" t="str">
        <f ca="1">IF(ISERROR($S1151),"",OFFSET('Smelter Reference List'!$E$4,$S1151-4,0))</f>
        <v/>
      </c>
      <c r="G1151" s="292" t="str">
        <f ca="1">IF(C1151=$U$4,"Enter smelter details", IF(ISERROR($S1151),"",OFFSET('Smelter Reference List'!$F$4,$S1151-4,0)))</f>
        <v/>
      </c>
      <c r="H1151" s="293" t="str">
        <f ca="1">IF(ISERROR($S1151),"",OFFSET('Smelter Reference List'!$G$4,$S1151-4,0))</f>
        <v/>
      </c>
      <c r="I1151" s="294" t="str">
        <f ca="1">IF(ISERROR($S1151),"",OFFSET('Smelter Reference List'!$H$4,$S1151-4,0))</f>
        <v/>
      </c>
      <c r="J1151" s="294" t="str">
        <f ca="1">IF(ISERROR($S1151),"",OFFSET('Smelter Reference List'!$I$4,$S1151-4,0))</f>
        <v/>
      </c>
      <c r="K1151" s="295"/>
      <c r="L1151" s="295"/>
      <c r="M1151" s="295"/>
      <c r="N1151" s="295"/>
      <c r="O1151" s="295"/>
      <c r="P1151" s="295"/>
      <c r="Q1151" s="296"/>
      <c r="R1151" s="227"/>
      <c r="S1151" s="228" t="e">
        <f>IF(C1151="",NA(),MATCH($B1151&amp;$C1151,'Smelter Reference List'!$J:$J,0))</f>
        <v>#N/A</v>
      </c>
      <c r="T1151" s="229"/>
      <c r="U1151" s="229">
        <f t="shared" ca="1" si="36"/>
        <v>0</v>
      </c>
      <c r="V1151" s="229"/>
      <c r="W1151" s="229"/>
      <c r="Y1151" s="223" t="str">
        <f t="shared" si="37"/>
        <v/>
      </c>
    </row>
    <row r="1152" spans="1:25" s="223" customFormat="1" ht="20.25">
      <c r="A1152" s="291"/>
      <c r="B1152" s="292" t="str">
        <f>IF(LEN(A1152)=0,"",INDEX('Smelter Reference List'!$A:$A,MATCH($A1152,'Smelter Reference List'!$E:$E,0)))</f>
        <v/>
      </c>
      <c r="C1152" s="298" t="str">
        <f>IF(LEN(A1152)=0,"",INDEX('Smelter Reference List'!$C:$C,MATCH($A1152,'Smelter Reference List'!$E:$E,0)))</f>
        <v/>
      </c>
      <c r="D1152" s="292" t="str">
        <f ca="1">IF(ISERROR($S1152),"",OFFSET('Smelter Reference List'!$C$4,$S1152-4,0)&amp;"")</f>
        <v/>
      </c>
      <c r="E1152" s="292" t="str">
        <f ca="1">IF(ISERROR($S1152),"",OFFSET('Smelter Reference List'!$D$4,$S1152-4,0)&amp;"")</f>
        <v/>
      </c>
      <c r="F1152" s="292" t="str">
        <f ca="1">IF(ISERROR($S1152),"",OFFSET('Smelter Reference List'!$E$4,$S1152-4,0))</f>
        <v/>
      </c>
      <c r="G1152" s="292" t="str">
        <f ca="1">IF(C1152=$U$4,"Enter smelter details", IF(ISERROR($S1152),"",OFFSET('Smelter Reference List'!$F$4,$S1152-4,0)))</f>
        <v/>
      </c>
      <c r="H1152" s="293" t="str">
        <f ca="1">IF(ISERROR($S1152),"",OFFSET('Smelter Reference List'!$G$4,$S1152-4,0))</f>
        <v/>
      </c>
      <c r="I1152" s="294" t="str">
        <f ca="1">IF(ISERROR($S1152),"",OFFSET('Smelter Reference List'!$H$4,$S1152-4,0))</f>
        <v/>
      </c>
      <c r="J1152" s="294" t="str">
        <f ca="1">IF(ISERROR($S1152),"",OFFSET('Smelter Reference List'!$I$4,$S1152-4,0))</f>
        <v/>
      </c>
      <c r="K1152" s="295"/>
      <c r="L1152" s="295"/>
      <c r="M1152" s="295"/>
      <c r="N1152" s="295"/>
      <c r="O1152" s="295"/>
      <c r="P1152" s="295"/>
      <c r="Q1152" s="296"/>
      <c r="R1152" s="227"/>
      <c r="S1152" s="228" t="e">
        <f>IF(C1152="",NA(),MATCH($B1152&amp;$C1152,'Smelter Reference List'!$J:$J,0))</f>
        <v>#N/A</v>
      </c>
      <c r="T1152" s="229"/>
      <c r="U1152" s="229">
        <f t="shared" ca="1" si="36"/>
        <v>0</v>
      </c>
      <c r="V1152" s="229"/>
      <c r="W1152" s="229"/>
      <c r="Y1152" s="223" t="str">
        <f t="shared" si="37"/>
        <v/>
      </c>
    </row>
    <row r="1153" spans="1:25" s="223" customFormat="1" ht="20.25">
      <c r="A1153" s="291"/>
      <c r="B1153" s="292" t="str">
        <f>IF(LEN(A1153)=0,"",INDEX('Smelter Reference List'!$A:$A,MATCH($A1153,'Smelter Reference List'!$E:$E,0)))</f>
        <v/>
      </c>
      <c r="C1153" s="298" t="str">
        <f>IF(LEN(A1153)=0,"",INDEX('Smelter Reference List'!$C:$C,MATCH($A1153,'Smelter Reference List'!$E:$E,0)))</f>
        <v/>
      </c>
      <c r="D1153" s="292" t="str">
        <f ca="1">IF(ISERROR($S1153),"",OFFSET('Smelter Reference List'!$C$4,$S1153-4,0)&amp;"")</f>
        <v/>
      </c>
      <c r="E1153" s="292" t="str">
        <f ca="1">IF(ISERROR($S1153),"",OFFSET('Smelter Reference List'!$D$4,$S1153-4,0)&amp;"")</f>
        <v/>
      </c>
      <c r="F1153" s="292" t="str">
        <f ca="1">IF(ISERROR($S1153),"",OFFSET('Smelter Reference List'!$E$4,$S1153-4,0))</f>
        <v/>
      </c>
      <c r="G1153" s="292" t="str">
        <f ca="1">IF(C1153=$U$4,"Enter smelter details", IF(ISERROR($S1153),"",OFFSET('Smelter Reference List'!$F$4,$S1153-4,0)))</f>
        <v/>
      </c>
      <c r="H1153" s="293" t="str">
        <f ca="1">IF(ISERROR($S1153),"",OFFSET('Smelter Reference List'!$G$4,$S1153-4,0))</f>
        <v/>
      </c>
      <c r="I1153" s="294" t="str">
        <f ca="1">IF(ISERROR($S1153),"",OFFSET('Smelter Reference List'!$H$4,$S1153-4,0))</f>
        <v/>
      </c>
      <c r="J1153" s="294" t="str">
        <f ca="1">IF(ISERROR($S1153),"",OFFSET('Smelter Reference List'!$I$4,$S1153-4,0))</f>
        <v/>
      </c>
      <c r="K1153" s="295"/>
      <c r="L1153" s="295"/>
      <c r="M1153" s="295"/>
      <c r="N1153" s="295"/>
      <c r="O1153" s="295"/>
      <c r="P1153" s="295"/>
      <c r="Q1153" s="296"/>
      <c r="R1153" s="227"/>
      <c r="S1153" s="228" t="e">
        <f>IF(C1153="",NA(),MATCH($B1153&amp;$C1153,'Smelter Reference List'!$J:$J,0))</f>
        <v>#N/A</v>
      </c>
      <c r="T1153" s="229"/>
      <c r="U1153" s="229">
        <f t="shared" ca="1" si="36"/>
        <v>0</v>
      </c>
      <c r="V1153" s="229"/>
      <c r="W1153" s="229"/>
      <c r="Y1153" s="223" t="str">
        <f t="shared" si="37"/>
        <v/>
      </c>
    </row>
    <row r="1154" spans="1:25" s="223" customFormat="1" ht="20.25">
      <c r="A1154" s="291"/>
      <c r="B1154" s="292" t="str">
        <f>IF(LEN(A1154)=0,"",INDEX('Smelter Reference List'!$A:$A,MATCH($A1154,'Smelter Reference List'!$E:$E,0)))</f>
        <v/>
      </c>
      <c r="C1154" s="298" t="str">
        <f>IF(LEN(A1154)=0,"",INDEX('Smelter Reference List'!$C:$C,MATCH($A1154,'Smelter Reference List'!$E:$E,0)))</f>
        <v/>
      </c>
      <c r="D1154" s="292" t="str">
        <f ca="1">IF(ISERROR($S1154),"",OFFSET('Smelter Reference List'!$C$4,$S1154-4,0)&amp;"")</f>
        <v/>
      </c>
      <c r="E1154" s="292" t="str">
        <f ca="1">IF(ISERROR($S1154),"",OFFSET('Smelter Reference List'!$D$4,$S1154-4,0)&amp;"")</f>
        <v/>
      </c>
      <c r="F1154" s="292" t="str">
        <f ca="1">IF(ISERROR($S1154),"",OFFSET('Smelter Reference List'!$E$4,$S1154-4,0))</f>
        <v/>
      </c>
      <c r="G1154" s="292" t="str">
        <f ca="1">IF(C1154=$U$4,"Enter smelter details", IF(ISERROR($S1154),"",OFFSET('Smelter Reference List'!$F$4,$S1154-4,0)))</f>
        <v/>
      </c>
      <c r="H1154" s="293" t="str">
        <f ca="1">IF(ISERROR($S1154),"",OFFSET('Smelter Reference List'!$G$4,$S1154-4,0))</f>
        <v/>
      </c>
      <c r="I1154" s="294" t="str">
        <f ca="1">IF(ISERROR($S1154),"",OFFSET('Smelter Reference List'!$H$4,$S1154-4,0))</f>
        <v/>
      </c>
      <c r="J1154" s="294" t="str">
        <f ca="1">IF(ISERROR($S1154),"",OFFSET('Smelter Reference List'!$I$4,$S1154-4,0))</f>
        <v/>
      </c>
      <c r="K1154" s="295"/>
      <c r="L1154" s="295"/>
      <c r="M1154" s="295"/>
      <c r="N1154" s="295"/>
      <c r="O1154" s="295"/>
      <c r="P1154" s="295"/>
      <c r="Q1154" s="296"/>
      <c r="R1154" s="227"/>
      <c r="S1154" s="228" t="e">
        <f>IF(C1154="",NA(),MATCH($B1154&amp;$C1154,'Smelter Reference List'!$J:$J,0))</f>
        <v>#N/A</v>
      </c>
      <c r="T1154" s="229"/>
      <c r="U1154" s="229">
        <f t="shared" ca="1" si="36"/>
        <v>0</v>
      </c>
      <c r="V1154" s="229"/>
      <c r="W1154" s="229"/>
      <c r="Y1154" s="223" t="str">
        <f t="shared" si="37"/>
        <v/>
      </c>
    </row>
    <row r="1155" spans="1:25" s="223" customFormat="1" ht="20.25">
      <c r="A1155" s="291"/>
      <c r="B1155" s="292" t="str">
        <f>IF(LEN(A1155)=0,"",INDEX('Smelter Reference List'!$A:$A,MATCH($A1155,'Smelter Reference List'!$E:$E,0)))</f>
        <v/>
      </c>
      <c r="C1155" s="298" t="str">
        <f>IF(LEN(A1155)=0,"",INDEX('Smelter Reference List'!$C:$C,MATCH($A1155,'Smelter Reference List'!$E:$E,0)))</f>
        <v/>
      </c>
      <c r="D1155" s="292" t="str">
        <f ca="1">IF(ISERROR($S1155),"",OFFSET('Smelter Reference List'!$C$4,$S1155-4,0)&amp;"")</f>
        <v/>
      </c>
      <c r="E1155" s="292" t="str">
        <f ca="1">IF(ISERROR($S1155),"",OFFSET('Smelter Reference List'!$D$4,$S1155-4,0)&amp;"")</f>
        <v/>
      </c>
      <c r="F1155" s="292" t="str">
        <f ca="1">IF(ISERROR($S1155),"",OFFSET('Smelter Reference List'!$E$4,$S1155-4,0))</f>
        <v/>
      </c>
      <c r="G1155" s="292" t="str">
        <f ca="1">IF(C1155=$U$4,"Enter smelter details", IF(ISERROR($S1155),"",OFFSET('Smelter Reference List'!$F$4,$S1155-4,0)))</f>
        <v/>
      </c>
      <c r="H1155" s="293" t="str">
        <f ca="1">IF(ISERROR($S1155),"",OFFSET('Smelter Reference List'!$G$4,$S1155-4,0))</f>
        <v/>
      </c>
      <c r="I1155" s="294" t="str">
        <f ca="1">IF(ISERROR($S1155),"",OFFSET('Smelter Reference List'!$H$4,$S1155-4,0))</f>
        <v/>
      </c>
      <c r="J1155" s="294" t="str">
        <f ca="1">IF(ISERROR($S1155),"",OFFSET('Smelter Reference List'!$I$4,$S1155-4,0))</f>
        <v/>
      </c>
      <c r="K1155" s="295"/>
      <c r="L1155" s="295"/>
      <c r="M1155" s="295"/>
      <c r="N1155" s="295"/>
      <c r="O1155" s="295"/>
      <c r="P1155" s="295"/>
      <c r="Q1155" s="296"/>
      <c r="R1155" s="227"/>
      <c r="S1155" s="228" t="e">
        <f>IF(C1155="",NA(),MATCH($B1155&amp;$C1155,'Smelter Reference List'!$J:$J,0))</f>
        <v>#N/A</v>
      </c>
      <c r="T1155" s="229"/>
      <c r="U1155" s="229">
        <f t="shared" ca="1" si="36"/>
        <v>0</v>
      </c>
      <c r="V1155" s="229"/>
      <c r="W1155" s="229"/>
      <c r="Y1155" s="223" t="str">
        <f t="shared" si="37"/>
        <v/>
      </c>
    </row>
    <row r="1156" spans="1:25" s="223" customFormat="1" ht="20.25">
      <c r="A1156" s="291"/>
      <c r="B1156" s="292" t="str">
        <f>IF(LEN(A1156)=0,"",INDEX('Smelter Reference List'!$A:$A,MATCH($A1156,'Smelter Reference List'!$E:$E,0)))</f>
        <v/>
      </c>
      <c r="C1156" s="298" t="str">
        <f>IF(LEN(A1156)=0,"",INDEX('Smelter Reference List'!$C:$C,MATCH($A1156,'Smelter Reference List'!$E:$E,0)))</f>
        <v/>
      </c>
      <c r="D1156" s="292" t="str">
        <f ca="1">IF(ISERROR($S1156),"",OFFSET('Smelter Reference List'!$C$4,$S1156-4,0)&amp;"")</f>
        <v/>
      </c>
      <c r="E1156" s="292" t="str">
        <f ca="1">IF(ISERROR($S1156),"",OFFSET('Smelter Reference List'!$D$4,$S1156-4,0)&amp;"")</f>
        <v/>
      </c>
      <c r="F1156" s="292" t="str">
        <f ca="1">IF(ISERROR($S1156),"",OFFSET('Smelter Reference List'!$E$4,$S1156-4,0))</f>
        <v/>
      </c>
      <c r="G1156" s="292" t="str">
        <f ca="1">IF(C1156=$U$4,"Enter smelter details", IF(ISERROR($S1156),"",OFFSET('Smelter Reference List'!$F$4,$S1156-4,0)))</f>
        <v/>
      </c>
      <c r="H1156" s="293" t="str">
        <f ca="1">IF(ISERROR($S1156),"",OFFSET('Smelter Reference List'!$G$4,$S1156-4,0))</f>
        <v/>
      </c>
      <c r="I1156" s="294" t="str">
        <f ca="1">IF(ISERROR($S1156),"",OFFSET('Smelter Reference List'!$H$4,$S1156-4,0))</f>
        <v/>
      </c>
      <c r="J1156" s="294" t="str">
        <f ca="1">IF(ISERROR($S1156),"",OFFSET('Smelter Reference List'!$I$4,$S1156-4,0))</f>
        <v/>
      </c>
      <c r="K1156" s="295"/>
      <c r="L1156" s="295"/>
      <c r="M1156" s="295"/>
      <c r="N1156" s="295"/>
      <c r="O1156" s="295"/>
      <c r="P1156" s="295"/>
      <c r="Q1156" s="296"/>
      <c r="R1156" s="227"/>
      <c r="S1156" s="228" t="e">
        <f>IF(C1156="",NA(),MATCH($B1156&amp;$C1156,'Smelter Reference List'!$J:$J,0))</f>
        <v>#N/A</v>
      </c>
      <c r="T1156" s="229"/>
      <c r="U1156" s="229">
        <f t="shared" ca="1" si="36"/>
        <v>0</v>
      </c>
      <c r="V1156" s="229"/>
      <c r="W1156" s="229"/>
      <c r="Y1156" s="223" t="str">
        <f t="shared" si="37"/>
        <v/>
      </c>
    </row>
    <row r="1157" spans="1:25" s="223" customFormat="1" ht="20.25">
      <c r="A1157" s="291"/>
      <c r="B1157" s="292" t="str">
        <f>IF(LEN(A1157)=0,"",INDEX('Smelter Reference List'!$A:$A,MATCH($A1157,'Smelter Reference List'!$E:$E,0)))</f>
        <v/>
      </c>
      <c r="C1157" s="298" t="str">
        <f>IF(LEN(A1157)=0,"",INDEX('Smelter Reference List'!$C:$C,MATCH($A1157,'Smelter Reference List'!$E:$E,0)))</f>
        <v/>
      </c>
      <c r="D1157" s="292" t="str">
        <f ca="1">IF(ISERROR($S1157),"",OFFSET('Smelter Reference List'!$C$4,$S1157-4,0)&amp;"")</f>
        <v/>
      </c>
      <c r="E1157" s="292" t="str">
        <f ca="1">IF(ISERROR($S1157),"",OFFSET('Smelter Reference List'!$D$4,$S1157-4,0)&amp;"")</f>
        <v/>
      </c>
      <c r="F1157" s="292" t="str">
        <f ca="1">IF(ISERROR($S1157),"",OFFSET('Smelter Reference List'!$E$4,$S1157-4,0))</f>
        <v/>
      </c>
      <c r="G1157" s="292" t="str">
        <f ca="1">IF(C1157=$U$4,"Enter smelter details", IF(ISERROR($S1157),"",OFFSET('Smelter Reference List'!$F$4,$S1157-4,0)))</f>
        <v/>
      </c>
      <c r="H1157" s="293" t="str">
        <f ca="1">IF(ISERROR($S1157),"",OFFSET('Smelter Reference List'!$G$4,$S1157-4,0))</f>
        <v/>
      </c>
      <c r="I1157" s="294" t="str">
        <f ca="1">IF(ISERROR($S1157),"",OFFSET('Smelter Reference List'!$H$4,$S1157-4,0))</f>
        <v/>
      </c>
      <c r="J1157" s="294" t="str">
        <f ca="1">IF(ISERROR($S1157),"",OFFSET('Smelter Reference List'!$I$4,$S1157-4,0))</f>
        <v/>
      </c>
      <c r="K1157" s="295"/>
      <c r="L1157" s="295"/>
      <c r="M1157" s="295"/>
      <c r="N1157" s="295"/>
      <c r="O1157" s="295"/>
      <c r="P1157" s="295"/>
      <c r="Q1157" s="296"/>
      <c r="R1157" s="227"/>
      <c r="S1157" s="228" t="e">
        <f>IF(C1157="",NA(),MATCH($B1157&amp;$C1157,'Smelter Reference List'!$J:$J,0))</f>
        <v>#N/A</v>
      </c>
      <c r="T1157" s="229"/>
      <c r="U1157" s="229">
        <f t="shared" ref="U1157:U1220" ca="1" si="38">IF(AND(C1157="Smelter not listed",OR(LEN(D1157)=0,LEN(E1157)=0)),1,0)</f>
        <v>0</v>
      </c>
      <c r="V1157" s="229"/>
      <c r="W1157" s="229"/>
      <c r="Y1157" s="223" t="str">
        <f t="shared" ref="Y1157:Y1220" si="39">B1157&amp;C1157</f>
        <v/>
      </c>
    </row>
    <row r="1158" spans="1:25" s="223" customFormat="1" ht="20.25">
      <c r="A1158" s="291"/>
      <c r="B1158" s="292" t="str">
        <f>IF(LEN(A1158)=0,"",INDEX('Smelter Reference List'!$A:$A,MATCH($A1158,'Smelter Reference List'!$E:$E,0)))</f>
        <v/>
      </c>
      <c r="C1158" s="298" t="str">
        <f>IF(LEN(A1158)=0,"",INDEX('Smelter Reference List'!$C:$C,MATCH($A1158,'Smelter Reference List'!$E:$E,0)))</f>
        <v/>
      </c>
      <c r="D1158" s="292" t="str">
        <f ca="1">IF(ISERROR($S1158),"",OFFSET('Smelter Reference List'!$C$4,$S1158-4,0)&amp;"")</f>
        <v/>
      </c>
      <c r="E1158" s="292" t="str">
        <f ca="1">IF(ISERROR($S1158),"",OFFSET('Smelter Reference List'!$D$4,$S1158-4,0)&amp;"")</f>
        <v/>
      </c>
      <c r="F1158" s="292" t="str">
        <f ca="1">IF(ISERROR($S1158),"",OFFSET('Smelter Reference List'!$E$4,$S1158-4,0))</f>
        <v/>
      </c>
      <c r="G1158" s="292" t="str">
        <f ca="1">IF(C1158=$U$4,"Enter smelter details", IF(ISERROR($S1158),"",OFFSET('Smelter Reference List'!$F$4,$S1158-4,0)))</f>
        <v/>
      </c>
      <c r="H1158" s="293" t="str">
        <f ca="1">IF(ISERROR($S1158),"",OFFSET('Smelter Reference List'!$G$4,$S1158-4,0))</f>
        <v/>
      </c>
      <c r="I1158" s="294" t="str">
        <f ca="1">IF(ISERROR($S1158),"",OFFSET('Smelter Reference List'!$H$4,$S1158-4,0))</f>
        <v/>
      </c>
      <c r="J1158" s="294" t="str">
        <f ca="1">IF(ISERROR($S1158),"",OFFSET('Smelter Reference List'!$I$4,$S1158-4,0))</f>
        <v/>
      </c>
      <c r="K1158" s="295"/>
      <c r="L1158" s="295"/>
      <c r="M1158" s="295"/>
      <c r="N1158" s="295"/>
      <c r="O1158" s="295"/>
      <c r="P1158" s="295"/>
      <c r="Q1158" s="296"/>
      <c r="R1158" s="227"/>
      <c r="S1158" s="228" t="e">
        <f>IF(C1158="",NA(),MATCH($B1158&amp;$C1158,'Smelter Reference List'!$J:$J,0))</f>
        <v>#N/A</v>
      </c>
      <c r="T1158" s="229"/>
      <c r="U1158" s="229">
        <f t="shared" ca="1" si="38"/>
        <v>0</v>
      </c>
      <c r="V1158" s="229"/>
      <c r="W1158" s="229"/>
      <c r="Y1158" s="223" t="str">
        <f t="shared" si="39"/>
        <v/>
      </c>
    </row>
    <row r="1159" spans="1:25" s="223" customFormat="1" ht="20.25">
      <c r="A1159" s="291"/>
      <c r="B1159" s="292" t="str">
        <f>IF(LEN(A1159)=0,"",INDEX('Smelter Reference List'!$A:$A,MATCH($A1159,'Smelter Reference List'!$E:$E,0)))</f>
        <v/>
      </c>
      <c r="C1159" s="298" t="str">
        <f>IF(LEN(A1159)=0,"",INDEX('Smelter Reference List'!$C:$C,MATCH($A1159,'Smelter Reference List'!$E:$E,0)))</f>
        <v/>
      </c>
      <c r="D1159" s="292" t="str">
        <f ca="1">IF(ISERROR($S1159),"",OFFSET('Smelter Reference List'!$C$4,$S1159-4,0)&amp;"")</f>
        <v/>
      </c>
      <c r="E1159" s="292" t="str">
        <f ca="1">IF(ISERROR($S1159),"",OFFSET('Smelter Reference List'!$D$4,$S1159-4,0)&amp;"")</f>
        <v/>
      </c>
      <c r="F1159" s="292" t="str">
        <f ca="1">IF(ISERROR($S1159),"",OFFSET('Smelter Reference List'!$E$4,$S1159-4,0))</f>
        <v/>
      </c>
      <c r="G1159" s="292" t="str">
        <f ca="1">IF(C1159=$U$4,"Enter smelter details", IF(ISERROR($S1159),"",OFFSET('Smelter Reference List'!$F$4,$S1159-4,0)))</f>
        <v/>
      </c>
      <c r="H1159" s="293" t="str">
        <f ca="1">IF(ISERROR($S1159),"",OFFSET('Smelter Reference List'!$G$4,$S1159-4,0))</f>
        <v/>
      </c>
      <c r="I1159" s="294" t="str">
        <f ca="1">IF(ISERROR($S1159),"",OFFSET('Smelter Reference List'!$H$4,$S1159-4,0))</f>
        <v/>
      </c>
      <c r="J1159" s="294" t="str">
        <f ca="1">IF(ISERROR($S1159),"",OFFSET('Smelter Reference List'!$I$4,$S1159-4,0))</f>
        <v/>
      </c>
      <c r="K1159" s="295"/>
      <c r="L1159" s="295"/>
      <c r="M1159" s="295"/>
      <c r="N1159" s="295"/>
      <c r="O1159" s="295"/>
      <c r="P1159" s="295"/>
      <c r="Q1159" s="296"/>
      <c r="R1159" s="227"/>
      <c r="S1159" s="228" t="e">
        <f>IF(C1159="",NA(),MATCH($B1159&amp;$C1159,'Smelter Reference List'!$J:$J,0))</f>
        <v>#N/A</v>
      </c>
      <c r="T1159" s="229"/>
      <c r="U1159" s="229">
        <f t="shared" ca="1" si="38"/>
        <v>0</v>
      </c>
      <c r="V1159" s="229"/>
      <c r="W1159" s="229"/>
      <c r="Y1159" s="223" t="str">
        <f t="shared" si="39"/>
        <v/>
      </c>
    </row>
    <row r="1160" spans="1:25" s="223" customFormat="1" ht="20.25">
      <c r="A1160" s="291"/>
      <c r="B1160" s="292" t="str">
        <f>IF(LEN(A1160)=0,"",INDEX('Smelter Reference List'!$A:$A,MATCH($A1160,'Smelter Reference List'!$E:$E,0)))</f>
        <v/>
      </c>
      <c r="C1160" s="298" t="str">
        <f>IF(LEN(A1160)=0,"",INDEX('Smelter Reference List'!$C:$C,MATCH($A1160,'Smelter Reference List'!$E:$E,0)))</f>
        <v/>
      </c>
      <c r="D1160" s="292" t="str">
        <f ca="1">IF(ISERROR($S1160),"",OFFSET('Smelter Reference List'!$C$4,$S1160-4,0)&amp;"")</f>
        <v/>
      </c>
      <c r="E1160" s="292" t="str">
        <f ca="1">IF(ISERROR($S1160),"",OFFSET('Smelter Reference List'!$D$4,$S1160-4,0)&amp;"")</f>
        <v/>
      </c>
      <c r="F1160" s="292" t="str">
        <f ca="1">IF(ISERROR($S1160),"",OFFSET('Smelter Reference List'!$E$4,$S1160-4,0))</f>
        <v/>
      </c>
      <c r="G1160" s="292" t="str">
        <f ca="1">IF(C1160=$U$4,"Enter smelter details", IF(ISERROR($S1160),"",OFFSET('Smelter Reference List'!$F$4,$S1160-4,0)))</f>
        <v/>
      </c>
      <c r="H1160" s="293" t="str">
        <f ca="1">IF(ISERROR($S1160),"",OFFSET('Smelter Reference List'!$G$4,$S1160-4,0))</f>
        <v/>
      </c>
      <c r="I1160" s="294" t="str">
        <f ca="1">IF(ISERROR($S1160),"",OFFSET('Smelter Reference List'!$H$4,$S1160-4,0))</f>
        <v/>
      </c>
      <c r="J1160" s="294" t="str">
        <f ca="1">IF(ISERROR($S1160),"",OFFSET('Smelter Reference List'!$I$4,$S1160-4,0))</f>
        <v/>
      </c>
      <c r="K1160" s="295"/>
      <c r="L1160" s="295"/>
      <c r="M1160" s="295"/>
      <c r="N1160" s="295"/>
      <c r="O1160" s="295"/>
      <c r="P1160" s="295"/>
      <c r="Q1160" s="296"/>
      <c r="R1160" s="227"/>
      <c r="S1160" s="228" t="e">
        <f>IF(C1160="",NA(),MATCH($B1160&amp;$C1160,'Smelter Reference List'!$J:$J,0))</f>
        <v>#N/A</v>
      </c>
      <c r="T1160" s="229"/>
      <c r="U1160" s="229">
        <f t="shared" ca="1" si="38"/>
        <v>0</v>
      </c>
      <c r="V1160" s="229"/>
      <c r="W1160" s="229"/>
      <c r="Y1160" s="223" t="str">
        <f t="shared" si="39"/>
        <v/>
      </c>
    </row>
    <row r="1161" spans="1:25" s="223" customFormat="1" ht="20.25">
      <c r="A1161" s="291"/>
      <c r="B1161" s="292" t="str">
        <f>IF(LEN(A1161)=0,"",INDEX('Smelter Reference List'!$A:$A,MATCH($A1161,'Smelter Reference List'!$E:$E,0)))</f>
        <v/>
      </c>
      <c r="C1161" s="298" t="str">
        <f>IF(LEN(A1161)=0,"",INDEX('Smelter Reference List'!$C:$C,MATCH($A1161,'Smelter Reference List'!$E:$E,0)))</f>
        <v/>
      </c>
      <c r="D1161" s="292" t="str">
        <f ca="1">IF(ISERROR($S1161),"",OFFSET('Smelter Reference List'!$C$4,$S1161-4,0)&amp;"")</f>
        <v/>
      </c>
      <c r="E1161" s="292" t="str">
        <f ca="1">IF(ISERROR($S1161),"",OFFSET('Smelter Reference List'!$D$4,$S1161-4,0)&amp;"")</f>
        <v/>
      </c>
      <c r="F1161" s="292" t="str">
        <f ca="1">IF(ISERROR($S1161),"",OFFSET('Smelter Reference List'!$E$4,$S1161-4,0))</f>
        <v/>
      </c>
      <c r="G1161" s="292" t="str">
        <f ca="1">IF(C1161=$U$4,"Enter smelter details", IF(ISERROR($S1161),"",OFFSET('Smelter Reference List'!$F$4,$S1161-4,0)))</f>
        <v/>
      </c>
      <c r="H1161" s="293" t="str">
        <f ca="1">IF(ISERROR($S1161),"",OFFSET('Smelter Reference List'!$G$4,$S1161-4,0))</f>
        <v/>
      </c>
      <c r="I1161" s="294" t="str">
        <f ca="1">IF(ISERROR($S1161),"",OFFSET('Smelter Reference List'!$H$4,$S1161-4,0))</f>
        <v/>
      </c>
      <c r="J1161" s="294" t="str">
        <f ca="1">IF(ISERROR($S1161),"",OFFSET('Smelter Reference List'!$I$4,$S1161-4,0))</f>
        <v/>
      </c>
      <c r="K1161" s="295"/>
      <c r="L1161" s="295"/>
      <c r="M1161" s="295"/>
      <c r="N1161" s="295"/>
      <c r="O1161" s="295"/>
      <c r="P1161" s="295"/>
      <c r="Q1161" s="296"/>
      <c r="R1161" s="227"/>
      <c r="S1161" s="228" t="e">
        <f>IF(C1161="",NA(),MATCH($B1161&amp;$C1161,'Smelter Reference List'!$J:$J,0))</f>
        <v>#N/A</v>
      </c>
      <c r="T1161" s="229"/>
      <c r="U1161" s="229">
        <f t="shared" ca="1" si="38"/>
        <v>0</v>
      </c>
      <c r="V1161" s="229"/>
      <c r="W1161" s="229"/>
      <c r="Y1161" s="223" t="str">
        <f t="shared" si="39"/>
        <v/>
      </c>
    </row>
    <row r="1162" spans="1:25" s="223" customFormat="1" ht="20.25">
      <c r="A1162" s="291"/>
      <c r="B1162" s="292" t="str">
        <f>IF(LEN(A1162)=0,"",INDEX('Smelter Reference List'!$A:$A,MATCH($A1162,'Smelter Reference List'!$E:$E,0)))</f>
        <v/>
      </c>
      <c r="C1162" s="298" t="str">
        <f>IF(LEN(A1162)=0,"",INDEX('Smelter Reference List'!$C:$C,MATCH($A1162,'Smelter Reference List'!$E:$E,0)))</f>
        <v/>
      </c>
      <c r="D1162" s="292" t="str">
        <f ca="1">IF(ISERROR($S1162),"",OFFSET('Smelter Reference List'!$C$4,$S1162-4,0)&amp;"")</f>
        <v/>
      </c>
      <c r="E1162" s="292" t="str">
        <f ca="1">IF(ISERROR($S1162),"",OFFSET('Smelter Reference List'!$D$4,$S1162-4,0)&amp;"")</f>
        <v/>
      </c>
      <c r="F1162" s="292" t="str">
        <f ca="1">IF(ISERROR($S1162),"",OFFSET('Smelter Reference List'!$E$4,$S1162-4,0))</f>
        <v/>
      </c>
      <c r="G1162" s="292" t="str">
        <f ca="1">IF(C1162=$U$4,"Enter smelter details", IF(ISERROR($S1162),"",OFFSET('Smelter Reference List'!$F$4,$S1162-4,0)))</f>
        <v/>
      </c>
      <c r="H1162" s="293" t="str">
        <f ca="1">IF(ISERROR($S1162),"",OFFSET('Smelter Reference List'!$G$4,$S1162-4,0))</f>
        <v/>
      </c>
      <c r="I1162" s="294" t="str">
        <f ca="1">IF(ISERROR($S1162),"",OFFSET('Smelter Reference List'!$H$4,$S1162-4,0))</f>
        <v/>
      </c>
      <c r="J1162" s="294" t="str">
        <f ca="1">IF(ISERROR($S1162),"",OFFSET('Smelter Reference List'!$I$4,$S1162-4,0))</f>
        <v/>
      </c>
      <c r="K1162" s="295"/>
      <c r="L1162" s="295"/>
      <c r="M1162" s="295"/>
      <c r="N1162" s="295"/>
      <c r="O1162" s="295"/>
      <c r="P1162" s="295"/>
      <c r="Q1162" s="296"/>
      <c r="R1162" s="227"/>
      <c r="S1162" s="228" t="e">
        <f>IF(C1162="",NA(),MATCH($B1162&amp;$C1162,'Smelter Reference List'!$J:$J,0))</f>
        <v>#N/A</v>
      </c>
      <c r="T1162" s="229"/>
      <c r="U1162" s="229">
        <f t="shared" ca="1" si="38"/>
        <v>0</v>
      </c>
      <c r="V1162" s="229"/>
      <c r="W1162" s="229"/>
      <c r="Y1162" s="223" t="str">
        <f t="shared" si="39"/>
        <v/>
      </c>
    </row>
    <row r="1163" spans="1:25" s="223" customFormat="1" ht="20.25">
      <c r="A1163" s="291"/>
      <c r="B1163" s="292" t="str">
        <f>IF(LEN(A1163)=0,"",INDEX('Smelter Reference List'!$A:$A,MATCH($A1163,'Smelter Reference List'!$E:$E,0)))</f>
        <v/>
      </c>
      <c r="C1163" s="298" t="str">
        <f>IF(LEN(A1163)=0,"",INDEX('Smelter Reference List'!$C:$C,MATCH($A1163,'Smelter Reference List'!$E:$E,0)))</f>
        <v/>
      </c>
      <c r="D1163" s="292" t="str">
        <f ca="1">IF(ISERROR($S1163),"",OFFSET('Smelter Reference List'!$C$4,$S1163-4,0)&amp;"")</f>
        <v/>
      </c>
      <c r="E1163" s="292" t="str">
        <f ca="1">IF(ISERROR($S1163),"",OFFSET('Smelter Reference List'!$D$4,$S1163-4,0)&amp;"")</f>
        <v/>
      </c>
      <c r="F1163" s="292" t="str">
        <f ca="1">IF(ISERROR($S1163),"",OFFSET('Smelter Reference List'!$E$4,$S1163-4,0))</f>
        <v/>
      </c>
      <c r="G1163" s="292" t="str">
        <f ca="1">IF(C1163=$U$4,"Enter smelter details", IF(ISERROR($S1163),"",OFFSET('Smelter Reference List'!$F$4,$S1163-4,0)))</f>
        <v/>
      </c>
      <c r="H1163" s="293" t="str">
        <f ca="1">IF(ISERROR($S1163),"",OFFSET('Smelter Reference List'!$G$4,$S1163-4,0))</f>
        <v/>
      </c>
      <c r="I1163" s="294" t="str">
        <f ca="1">IF(ISERROR($S1163),"",OFFSET('Smelter Reference List'!$H$4,$S1163-4,0))</f>
        <v/>
      </c>
      <c r="J1163" s="294" t="str">
        <f ca="1">IF(ISERROR($S1163),"",OFFSET('Smelter Reference List'!$I$4,$S1163-4,0))</f>
        <v/>
      </c>
      <c r="K1163" s="295"/>
      <c r="L1163" s="295"/>
      <c r="M1163" s="295"/>
      <c r="N1163" s="295"/>
      <c r="O1163" s="295"/>
      <c r="P1163" s="295"/>
      <c r="Q1163" s="296"/>
      <c r="R1163" s="227"/>
      <c r="S1163" s="228" t="e">
        <f>IF(C1163="",NA(),MATCH($B1163&amp;$C1163,'Smelter Reference List'!$J:$J,0))</f>
        <v>#N/A</v>
      </c>
      <c r="T1163" s="229"/>
      <c r="U1163" s="229">
        <f t="shared" ca="1" si="38"/>
        <v>0</v>
      </c>
      <c r="V1163" s="229"/>
      <c r="W1163" s="229"/>
      <c r="Y1163" s="223" t="str">
        <f t="shared" si="39"/>
        <v/>
      </c>
    </row>
    <row r="1164" spans="1:25" s="223" customFormat="1" ht="20.25">
      <c r="A1164" s="291"/>
      <c r="B1164" s="292" t="str">
        <f>IF(LEN(A1164)=0,"",INDEX('Smelter Reference List'!$A:$A,MATCH($A1164,'Smelter Reference List'!$E:$E,0)))</f>
        <v/>
      </c>
      <c r="C1164" s="298" t="str">
        <f>IF(LEN(A1164)=0,"",INDEX('Smelter Reference List'!$C:$C,MATCH($A1164,'Smelter Reference List'!$E:$E,0)))</f>
        <v/>
      </c>
      <c r="D1164" s="292" t="str">
        <f ca="1">IF(ISERROR($S1164),"",OFFSET('Smelter Reference List'!$C$4,$S1164-4,0)&amp;"")</f>
        <v/>
      </c>
      <c r="E1164" s="292" t="str">
        <f ca="1">IF(ISERROR($S1164),"",OFFSET('Smelter Reference List'!$D$4,$S1164-4,0)&amp;"")</f>
        <v/>
      </c>
      <c r="F1164" s="292" t="str">
        <f ca="1">IF(ISERROR($S1164),"",OFFSET('Smelter Reference List'!$E$4,$S1164-4,0))</f>
        <v/>
      </c>
      <c r="G1164" s="292" t="str">
        <f ca="1">IF(C1164=$U$4,"Enter smelter details", IF(ISERROR($S1164),"",OFFSET('Smelter Reference List'!$F$4,$S1164-4,0)))</f>
        <v/>
      </c>
      <c r="H1164" s="293" t="str">
        <f ca="1">IF(ISERROR($S1164),"",OFFSET('Smelter Reference List'!$G$4,$S1164-4,0))</f>
        <v/>
      </c>
      <c r="I1164" s="294" t="str">
        <f ca="1">IF(ISERROR($S1164),"",OFFSET('Smelter Reference List'!$H$4,$S1164-4,0))</f>
        <v/>
      </c>
      <c r="J1164" s="294" t="str">
        <f ca="1">IF(ISERROR($S1164),"",OFFSET('Smelter Reference List'!$I$4,$S1164-4,0))</f>
        <v/>
      </c>
      <c r="K1164" s="295"/>
      <c r="L1164" s="295"/>
      <c r="M1164" s="295"/>
      <c r="N1164" s="295"/>
      <c r="O1164" s="295"/>
      <c r="P1164" s="295"/>
      <c r="Q1164" s="296"/>
      <c r="R1164" s="227"/>
      <c r="S1164" s="228" t="e">
        <f>IF(C1164="",NA(),MATCH($B1164&amp;$C1164,'Smelter Reference List'!$J:$J,0))</f>
        <v>#N/A</v>
      </c>
      <c r="T1164" s="229"/>
      <c r="U1164" s="229">
        <f t="shared" ca="1" si="38"/>
        <v>0</v>
      </c>
      <c r="V1164" s="229"/>
      <c r="W1164" s="229"/>
      <c r="Y1164" s="223" t="str">
        <f t="shared" si="39"/>
        <v/>
      </c>
    </row>
    <row r="1165" spans="1:25" s="223" customFormat="1" ht="20.25">
      <c r="A1165" s="291"/>
      <c r="B1165" s="292" t="str">
        <f>IF(LEN(A1165)=0,"",INDEX('Smelter Reference List'!$A:$A,MATCH($A1165,'Smelter Reference List'!$E:$E,0)))</f>
        <v/>
      </c>
      <c r="C1165" s="298" t="str">
        <f>IF(LEN(A1165)=0,"",INDEX('Smelter Reference List'!$C:$C,MATCH($A1165,'Smelter Reference List'!$E:$E,0)))</f>
        <v/>
      </c>
      <c r="D1165" s="292" t="str">
        <f ca="1">IF(ISERROR($S1165),"",OFFSET('Smelter Reference List'!$C$4,$S1165-4,0)&amp;"")</f>
        <v/>
      </c>
      <c r="E1165" s="292" t="str">
        <f ca="1">IF(ISERROR($S1165),"",OFFSET('Smelter Reference List'!$D$4,$S1165-4,0)&amp;"")</f>
        <v/>
      </c>
      <c r="F1165" s="292" t="str">
        <f ca="1">IF(ISERROR($S1165),"",OFFSET('Smelter Reference List'!$E$4,$S1165-4,0))</f>
        <v/>
      </c>
      <c r="G1165" s="292" t="str">
        <f ca="1">IF(C1165=$U$4,"Enter smelter details", IF(ISERROR($S1165),"",OFFSET('Smelter Reference List'!$F$4,$S1165-4,0)))</f>
        <v/>
      </c>
      <c r="H1165" s="293" t="str">
        <f ca="1">IF(ISERROR($S1165),"",OFFSET('Smelter Reference List'!$G$4,$S1165-4,0))</f>
        <v/>
      </c>
      <c r="I1165" s="294" t="str">
        <f ca="1">IF(ISERROR($S1165),"",OFFSET('Smelter Reference List'!$H$4,$S1165-4,0))</f>
        <v/>
      </c>
      <c r="J1165" s="294" t="str">
        <f ca="1">IF(ISERROR($S1165),"",OFFSET('Smelter Reference List'!$I$4,$S1165-4,0))</f>
        <v/>
      </c>
      <c r="K1165" s="295"/>
      <c r="L1165" s="295"/>
      <c r="M1165" s="295"/>
      <c r="N1165" s="295"/>
      <c r="O1165" s="295"/>
      <c r="P1165" s="295"/>
      <c r="Q1165" s="296"/>
      <c r="R1165" s="227"/>
      <c r="S1165" s="228" t="e">
        <f>IF(C1165="",NA(),MATCH($B1165&amp;$C1165,'Smelter Reference List'!$J:$J,0))</f>
        <v>#N/A</v>
      </c>
      <c r="T1165" s="229"/>
      <c r="U1165" s="229">
        <f t="shared" ca="1" si="38"/>
        <v>0</v>
      </c>
      <c r="V1165" s="229"/>
      <c r="W1165" s="229"/>
      <c r="Y1165" s="223" t="str">
        <f t="shared" si="39"/>
        <v/>
      </c>
    </row>
    <row r="1166" spans="1:25" s="223" customFormat="1" ht="20.25">
      <c r="A1166" s="291"/>
      <c r="B1166" s="292" t="str">
        <f>IF(LEN(A1166)=0,"",INDEX('Smelter Reference List'!$A:$A,MATCH($A1166,'Smelter Reference List'!$E:$E,0)))</f>
        <v/>
      </c>
      <c r="C1166" s="298" t="str">
        <f>IF(LEN(A1166)=0,"",INDEX('Smelter Reference List'!$C:$C,MATCH($A1166,'Smelter Reference List'!$E:$E,0)))</f>
        <v/>
      </c>
      <c r="D1166" s="292" t="str">
        <f ca="1">IF(ISERROR($S1166),"",OFFSET('Smelter Reference List'!$C$4,$S1166-4,0)&amp;"")</f>
        <v/>
      </c>
      <c r="E1166" s="292" t="str">
        <f ca="1">IF(ISERROR($S1166),"",OFFSET('Smelter Reference List'!$D$4,$S1166-4,0)&amp;"")</f>
        <v/>
      </c>
      <c r="F1166" s="292" t="str">
        <f ca="1">IF(ISERROR($S1166),"",OFFSET('Smelter Reference List'!$E$4,$S1166-4,0))</f>
        <v/>
      </c>
      <c r="G1166" s="292" t="str">
        <f ca="1">IF(C1166=$U$4,"Enter smelter details", IF(ISERROR($S1166),"",OFFSET('Smelter Reference List'!$F$4,$S1166-4,0)))</f>
        <v/>
      </c>
      <c r="H1166" s="293" t="str">
        <f ca="1">IF(ISERROR($S1166),"",OFFSET('Smelter Reference List'!$G$4,$S1166-4,0))</f>
        <v/>
      </c>
      <c r="I1166" s="294" t="str">
        <f ca="1">IF(ISERROR($S1166),"",OFFSET('Smelter Reference List'!$H$4,$S1166-4,0))</f>
        <v/>
      </c>
      <c r="J1166" s="294" t="str">
        <f ca="1">IF(ISERROR($S1166),"",OFFSET('Smelter Reference List'!$I$4,$S1166-4,0))</f>
        <v/>
      </c>
      <c r="K1166" s="295"/>
      <c r="L1166" s="295"/>
      <c r="M1166" s="295"/>
      <c r="N1166" s="295"/>
      <c r="O1166" s="295"/>
      <c r="P1166" s="295"/>
      <c r="Q1166" s="296"/>
      <c r="R1166" s="227"/>
      <c r="S1166" s="228" t="e">
        <f>IF(C1166="",NA(),MATCH($B1166&amp;$C1166,'Smelter Reference List'!$J:$J,0))</f>
        <v>#N/A</v>
      </c>
      <c r="T1166" s="229"/>
      <c r="U1166" s="229">
        <f t="shared" ca="1" si="38"/>
        <v>0</v>
      </c>
      <c r="V1166" s="229"/>
      <c r="W1166" s="229"/>
      <c r="Y1166" s="223" t="str">
        <f t="shared" si="39"/>
        <v/>
      </c>
    </row>
    <row r="1167" spans="1:25" s="223" customFormat="1" ht="20.25">
      <c r="A1167" s="291"/>
      <c r="B1167" s="292" t="str">
        <f>IF(LEN(A1167)=0,"",INDEX('Smelter Reference List'!$A:$A,MATCH($A1167,'Smelter Reference List'!$E:$E,0)))</f>
        <v/>
      </c>
      <c r="C1167" s="298" t="str">
        <f>IF(LEN(A1167)=0,"",INDEX('Smelter Reference List'!$C:$C,MATCH($A1167,'Smelter Reference List'!$E:$E,0)))</f>
        <v/>
      </c>
      <c r="D1167" s="292" t="str">
        <f ca="1">IF(ISERROR($S1167),"",OFFSET('Smelter Reference List'!$C$4,$S1167-4,0)&amp;"")</f>
        <v/>
      </c>
      <c r="E1167" s="292" t="str">
        <f ca="1">IF(ISERROR($S1167),"",OFFSET('Smelter Reference List'!$D$4,$S1167-4,0)&amp;"")</f>
        <v/>
      </c>
      <c r="F1167" s="292" t="str">
        <f ca="1">IF(ISERROR($S1167),"",OFFSET('Smelter Reference List'!$E$4,$S1167-4,0))</f>
        <v/>
      </c>
      <c r="G1167" s="292" t="str">
        <f ca="1">IF(C1167=$U$4,"Enter smelter details", IF(ISERROR($S1167),"",OFFSET('Smelter Reference List'!$F$4,$S1167-4,0)))</f>
        <v/>
      </c>
      <c r="H1167" s="293" t="str">
        <f ca="1">IF(ISERROR($S1167),"",OFFSET('Smelter Reference List'!$G$4,$S1167-4,0))</f>
        <v/>
      </c>
      <c r="I1167" s="294" t="str">
        <f ca="1">IF(ISERROR($S1167),"",OFFSET('Smelter Reference List'!$H$4,$S1167-4,0))</f>
        <v/>
      </c>
      <c r="J1167" s="294" t="str">
        <f ca="1">IF(ISERROR($S1167),"",OFFSET('Smelter Reference List'!$I$4,$S1167-4,0))</f>
        <v/>
      </c>
      <c r="K1167" s="295"/>
      <c r="L1167" s="295"/>
      <c r="M1167" s="295"/>
      <c r="N1167" s="295"/>
      <c r="O1167" s="295"/>
      <c r="P1167" s="295"/>
      <c r="Q1167" s="296"/>
      <c r="R1167" s="227"/>
      <c r="S1167" s="228" t="e">
        <f>IF(C1167="",NA(),MATCH($B1167&amp;$C1167,'Smelter Reference List'!$J:$J,0))</f>
        <v>#N/A</v>
      </c>
      <c r="T1167" s="229"/>
      <c r="U1167" s="229">
        <f t="shared" ca="1" si="38"/>
        <v>0</v>
      </c>
      <c r="V1167" s="229"/>
      <c r="W1167" s="229"/>
      <c r="Y1167" s="223" t="str">
        <f t="shared" si="39"/>
        <v/>
      </c>
    </row>
    <row r="1168" spans="1:25" s="223" customFormat="1" ht="20.25">
      <c r="A1168" s="291"/>
      <c r="B1168" s="292" t="str">
        <f>IF(LEN(A1168)=0,"",INDEX('Smelter Reference List'!$A:$A,MATCH($A1168,'Smelter Reference List'!$E:$E,0)))</f>
        <v/>
      </c>
      <c r="C1168" s="298" t="str">
        <f>IF(LEN(A1168)=0,"",INDEX('Smelter Reference List'!$C:$C,MATCH($A1168,'Smelter Reference List'!$E:$E,0)))</f>
        <v/>
      </c>
      <c r="D1168" s="292" t="str">
        <f ca="1">IF(ISERROR($S1168),"",OFFSET('Smelter Reference List'!$C$4,$S1168-4,0)&amp;"")</f>
        <v/>
      </c>
      <c r="E1168" s="292" t="str">
        <f ca="1">IF(ISERROR($S1168),"",OFFSET('Smelter Reference List'!$D$4,$S1168-4,0)&amp;"")</f>
        <v/>
      </c>
      <c r="F1168" s="292" t="str">
        <f ca="1">IF(ISERROR($S1168),"",OFFSET('Smelter Reference List'!$E$4,$S1168-4,0))</f>
        <v/>
      </c>
      <c r="G1168" s="292" t="str">
        <f ca="1">IF(C1168=$U$4,"Enter smelter details", IF(ISERROR($S1168),"",OFFSET('Smelter Reference List'!$F$4,$S1168-4,0)))</f>
        <v/>
      </c>
      <c r="H1168" s="293" t="str">
        <f ca="1">IF(ISERROR($S1168),"",OFFSET('Smelter Reference List'!$G$4,$S1168-4,0))</f>
        <v/>
      </c>
      <c r="I1168" s="294" t="str">
        <f ca="1">IF(ISERROR($S1168),"",OFFSET('Smelter Reference List'!$H$4,$S1168-4,0))</f>
        <v/>
      </c>
      <c r="J1168" s="294" t="str">
        <f ca="1">IF(ISERROR($S1168),"",OFFSET('Smelter Reference List'!$I$4,$S1168-4,0))</f>
        <v/>
      </c>
      <c r="K1168" s="295"/>
      <c r="L1168" s="295"/>
      <c r="M1168" s="295"/>
      <c r="N1168" s="295"/>
      <c r="O1168" s="295"/>
      <c r="P1168" s="295"/>
      <c r="Q1168" s="296"/>
      <c r="R1168" s="227"/>
      <c r="S1168" s="228" t="e">
        <f>IF(C1168="",NA(),MATCH($B1168&amp;$C1168,'Smelter Reference List'!$J:$J,0))</f>
        <v>#N/A</v>
      </c>
      <c r="T1168" s="229"/>
      <c r="U1168" s="229">
        <f t="shared" ca="1" si="38"/>
        <v>0</v>
      </c>
      <c r="V1168" s="229"/>
      <c r="W1168" s="229"/>
      <c r="Y1168" s="223" t="str">
        <f t="shared" si="39"/>
        <v/>
      </c>
    </row>
    <row r="1169" spans="1:25" s="223" customFormat="1" ht="20.25">
      <c r="A1169" s="291"/>
      <c r="B1169" s="292" t="str">
        <f>IF(LEN(A1169)=0,"",INDEX('Smelter Reference List'!$A:$A,MATCH($A1169,'Smelter Reference List'!$E:$E,0)))</f>
        <v/>
      </c>
      <c r="C1169" s="298" t="str">
        <f>IF(LEN(A1169)=0,"",INDEX('Smelter Reference List'!$C:$C,MATCH($A1169,'Smelter Reference List'!$E:$E,0)))</f>
        <v/>
      </c>
      <c r="D1169" s="292" t="str">
        <f ca="1">IF(ISERROR($S1169),"",OFFSET('Smelter Reference List'!$C$4,$S1169-4,0)&amp;"")</f>
        <v/>
      </c>
      <c r="E1169" s="292" t="str">
        <f ca="1">IF(ISERROR($S1169),"",OFFSET('Smelter Reference List'!$D$4,$S1169-4,0)&amp;"")</f>
        <v/>
      </c>
      <c r="F1169" s="292" t="str">
        <f ca="1">IF(ISERROR($S1169),"",OFFSET('Smelter Reference List'!$E$4,$S1169-4,0))</f>
        <v/>
      </c>
      <c r="G1169" s="292" t="str">
        <f ca="1">IF(C1169=$U$4,"Enter smelter details", IF(ISERROR($S1169),"",OFFSET('Smelter Reference List'!$F$4,$S1169-4,0)))</f>
        <v/>
      </c>
      <c r="H1169" s="293" t="str">
        <f ca="1">IF(ISERROR($S1169),"",OFFSET('Smelter Reference List'!$G$4,$S1169-4,0))</f>
        <v/>
      </c>
      <c r="I1169" s="294" t="str">
        <f ca="1">IF(ISERROR($S1169),"",OFFSET('Smelter Reference List'!$H$4,$S1169-4,0))</f>
        <v/>
      </c>
      <c r="J1169" s="294" t="str">
        <f ca="1">IF(ISERROR($S1169),"",OFFSET('Smelter Reference List'!$I$4,$S1169-4,0))</f>
        <v/>
      </c>
      <c r="K1169" s="295"/>
      <c r="L1169" s="295"/>
      <c r="M1169" s="295"/>
      <c r="N1169" s="295"/>
      <c r="O1169" s="295"/>
      <c r="P1169" s="295"/>
      <c r="Q1169" s="296"/>
      <c r="R1169" s="227"/>
      <c r="S1169" s="228" t="e">
        <f>IF(C1169="",NA(),MATCH($B1169&amp;$C1169,'Smelter Reference List'!$J:$J,0))</f>
        <v>#N/A</v>
      </c>
      <c r="T1169" s="229"/>
      <c r="U1169" s="229">
        <f t="shared" ca="1" si="38"/>
        <v>0</v>
      </c>
      <c r="V1169" s="229"/>
      <c r="W1169" s="229"/>
      <c r="Y1169" s="223" t="str">
        <f t="shared" si="39"/>
        <v/>
      </c>
    </row>
    <row r="1170" spans="1:25" s="223" customFormat="1" ht="20.25">
      <c r="A1170" s="291"/>
      <c r="B1170" s="292" t="str">
        <f>IF(LEN(A1170)=0,"",INDEX('Smelter Reference List'!$A:$A,MATCH($A1170,'Smelter Reference List'!$E:$E,0)))</f>
        <v/>
      </c>
      <c r="C1170" s="298" t="str">
        <f>IF(LEN(A1170)=0,"",INDEX('Smelter Reference List'!$C:$C,MATCH($A1170,'Smelter Reference List'!$E:$E,0)))</f>
        <v/>
      </c>
      <c r="D1170" s="292" t="str">
        <f ca="1">IF(ISERROR($S1170),"",OFFSET('Smelter Reference List'!$C$4,$S1170-4,0)&amp;"")</f>
        <v/>
      </c>
      <c r="E1170" s="292" t="str">
        <f ca="1">IF(ISERROR($S1170),"",OFFSET('Smelter Reference List'!$D$4,$S1170-4,0)&amp;"")</f>
        <v/>
      </c>
      <c r="F1170" s="292" t="str">
        <f ca="1">IF(ISERROR($S1170),"",OFFSET('Smelter Reference List'!$E$4,$S1170-4,0))</f>
        <v/>
      </c>
      <c r="G1170" s="292" t="str">
        <f ca="1">IF(C1170=$U$4,"Enter smelter details", IF(ISERROR($S1170),"",OFFSET('Smelter Reference List'!$F$4,$S1170-4,0)))</f>
        <v/>
      </c>
      <c r="H1170" s="293" t="str">
        <f ca="1">IF(ISERROR($S1170),"",OFFSET('Smelter Reference List'!$G$4,$S1170-4,0))</f>
        <v/>
      </c>
      <c r="I1170" s="294" t="str">
        <f ca="1">IF(ISERROR($S1170),"",OFFSET('Smelter Reference List'!$H$4,$S1170-4,0))</f>
        <v/>
      </c>
      <c r="J1170" s="294" t="str">
        <f ca="1">IF(ISERROR($S1170),"",OFFSET('Smelter Reference List'!$I$4,$S1170-4,0))</f>
        <v/>
      </c>
      <c r="K1170" s="295"/>
      <c r="L1170" s="295"/>
      <c r="M1170" s="295"/>
      <c r="N1170" s="295"/>
      <c r="O1170" s="295"/>
      <c r="P1170" s="295"/>
      <c r="Q1170" s="296"/>
      <c r="R1170" s="227"/>
      <c r="S1170" s="228" t="e">
        <f>IF(C1170="",NA(),MATCH($B1170&amp;$C1170,'Smelter Reference List'!$J:$J,0))</f>
        <v>#N/A</v>
      </c>
      <c r="T1170" s="229"/>
      <c r="U1170" s="229">
        <f t="shared" ca="1" si="38"/>
        <v>0</v>
      </c>
      <c r="V1170" s="229"/>
      <c r="W1170" s="229"/>
      <c r="Y1170" s="223" t="str">
        <f t="shared" si="39"/>
        <v/>
      </c>
    </row>
    <row r="1171" spans="1:25" s="223" customFormat="1" ht="20.25">
      <c r="A1171" s="291"/>
      <c r="B1171" s="292" t="str">
        <f>IF(LEN(A1171)=0,"",INDEX('Smelter Reference List'!$A:$A,MATCH($A1171,'Smelter Reference List'!$E:$E,0)))</f>
        <v/>
      </c>
      <c r="C1171" s="298" t="str">
        <f>IF(LEN(A1171)=0,"",INDEX('Smelter Reference List'!$C:$C,MATCH($A1171,'Smelter Reference List'!$E:$E,0)))</f>
        <v/>
      </c>
      <c r="D1171" s="292" t="str">
        <f ca="1">IF(ISERROR($S1171),"",OFFSET('Smelter Reference List'!$C$4,$S1171-4,0)&amp;"")</f>
        <v/>
      </c>
      <c r="E1171" s="292" t="str">
        <f ca="1">IF(ISERROR($S1171),"",OFFSET('Smelter Reference List'!$D$4,$S1171-4,0)&amp;"")</f>
        <v/>
      </c>
      <c r="F1171" s="292" t="str">
        <f ca="1">IF(ISERROR($S1171),"",OFFSET('Smelter Reference List'!$E$4,$S1171-4,0))</f>
        <v/>
      </c>
      <c r="G1171" s="292" t="str">
        <f ca="1">IF(C1171=$U$4,"Enter smelter details", IF(ISERROR($S1171),"",OFFSET('Smelter Reference List'!$F$4,$S1171-4,0)))</f>
        <v/>
      </c>
      <c r="H1171" s="293" t="str">
        <f ca="1">IF(ISERROR($S1171),"",OFFSET('Smelter Reference List'!$G$4,$S1171-4,0))</f>
        <v/>
      </c>
      <c r="I1171" s="294" t="str">
        <f ca="1">IF(ISERROR($S1171),"",OFFSET('Smelter Reference List'!$H$4,$S1171-4,0))</f>
        <v/>
      </c>
      <c r="J1171" s="294" t="str">
        <f ca="1">IF(ISERROR($S1171),"",OFFSET('Smelter Reference List'!$I$4,$S1171-4,0))</f>
        <v/>
      </c>
      <c r="K1171" s="295"/>
      <c r="L1171" s="295"/>
      <c r="M1171" s="295"/>
      <c r="N1171" s="295"/>
      <c r="O1171" s="295"/>
      <c r="P1171" s="295"/>
      <c r="Q1171" s="296"/>
      <c r="R1171" s="227"/>
      <c r="S1171" s="228" t="e">
        <f>IF(C1171="",NA(),MATCH($B1171&amp;$C1171,'Smelter Reference List'!$J:$J,0))</f>
        <v>#N/A</v>
      </c>
      <c r="T1171" s="229"/>
      <c r="U1171" s="229">
        <f t="shared" ca="1" si="38"/>
        <v>0</v>
      </c>
      <c r="V1171" s="229"/>
      <c r="W1171" s="229"/>
      <c r="Y1171" s="223" t="str">
        <f t="shared" si="39"/>
        <v/>
      </c>
    </row>
    <row r="1172" spans="1:25" s="223" customFormat="1" ht="20.25">
      <c r="A1172" s="291"/>
      <c r="B1172" s="292" t="str">
        <f>IF(LEN(A1172)=0,"",INDEX('Smelter Reference List'!$A:$A,MATCH($A1172,'Smelter Reference List'!$E:$E,0)))</f>
        <v/>
      </c>
      <c r="C1172" s="298" t="str">
        <f>IF(LEN(A1172)=0,"",INDEX('Smelter Reference List'!$C:$C,MATCH($A1172,'Smelter Reference List'!$E:$E,0)))</f>
        <v/>
      </c>
      <c r="D1172" s="292" t="str">
        <f ca="1">IF(ISERROR($S1172),"",OFFSET('Smelter Reference List'!$C$4,$S1172-4,0)&amp;"")</f>
        <v/>
      </c>
      <c r="E1172" s="292" t="str">
        <f ca="1">IF(ISERROR($S1172),"",OFFSET('Smelter Reference List'!$D$4,$S1172-4,0)&amp;"")</f>
        <v/>
      </c>
      <c r="F1172" s="292" t="str">
        <f ca="1">IF(ISERROR($S1172),"",OFFSET('Smelter Reference List'!$E$4,$S1172-4,0))</f>
        <v/>
      </c>
      <c r="G1172" s="292" t="str">
        <f ca="1">IF(C1172=$U$4,"Enter smelter details", IF(ISERROR($S1172),"",OFFSET('Smelter Reference List'!$F$4,$S1172-4,0)))</f>
        <v/>
      </c>
      <c r="H1172" s="293" t="str">
        <f ca="1">IF(ISERROR($S1172),"",OFFSET('Smelter Reference List'!$G$4,$S1172-4,0))</f>
        <v/>
      </c>
      <c r="I1172" s="294" t="str">
        <f ca="1">IF(ISERROR($S1172),"",OFFSET('Smelter Reference List'!$H$4,$S1172-4,0))</f>
        <v/>
      </c>
      <c r="J1172" s="294" t="str">
        <f ca="1">IF(ISERROR($S1172),"",OFFSET('Smelter Reference List'!$I$4,$S1172-4,0))</f>
        <v/>
      </c>
      <c r="K1172" s="295"/>
      <c r="L1172" s="295"/>
      <c r="M1172" s="295"/>
      <c r="N1172" s="295"/>
      <c r="O1172" s="295"/>
      <c r="P1172" s="295"/>
      <c r="Q1172" s="296"/>
      <c r="R1172" s="227"/>
      <c r="S1172" s="228" t="e">
        <f>IF(C1172="",NA(),MATCH($B1172&amp;$C1172,'Smelter Reference List'!$J:$J,0))</f>
        <v>#N/A</v>
      </c>
      <c r="T1172" s="229"/>
      <c r="U1172" s="229">
        <f t="shared" ca="1" si="38"/>
        <v>0</v>
      </c>
      <c r="V1172" s="229"/>
      <c r="W1172" s="229"/>
      <c r="Y1172" s="223" t="str">
        <f t="shared" si="39"/>
        <v/>
      </c>
    </row>
    <row r="1173" spans="1:25" s="223" customFormat="1" ht="20.25">
      <c r="A1173" s="291"/>
      <c r="B1173" s="292" t="str">
        <f>IF(LEN(A1173)=0,"",INDEX('Smelter Reference List'!$A:$A,MATCH($A1173,'Smelter Reference List'!$E:$E,0)))</f>
        <v/>
      </c>
      <c r="C1173" s="298" t="str">
        <f>IF(LEN(A1173)=0,"",INDEX('Smelter Reference List'!$C:$C,MATCH($A1173,'Smelter Reference List'!$E:$E,0)))</f>
        <v/>
      </c>
      <c r="D1173" s="292" t="str">
        <f ca="1">IF(ISERROR($S1173),"",OFFSET('Smelter Reference List'!$C$4,$S1173-4,0)&amp;"")</f>
        <v/>
      </c>
      <c r="E1173" s="292" t="str">
        <f ca="1">IF(ISERROR($S1173),"",OFFSET('Smelter Reference List'!$D$4,$S1173-4,0)&amp;"")</f>
        <v/>
      </c>
      <c r="F1173" s="292" t="str">
        <f ca="1">IF(ISERROR($S1173),"",OFFSET('Smelter Reference List'!$E$4,$S1173-4,0))</f>
        <v/>
      </c>
      <c r="G1173" s="292" t="str">
        <f ca="1">IF(C1173=$U$4,"Enter smelter details", IF(ISERROR($S1173),"",OFFSET('Smelter Reference List'!$F$4,$S1173-4,0)))</f>
        <v/>
      </c>
      <c r="H1173" s="293" t="str">
        <f ca="1">IF(ISERROR($S1173),"",OFFSET('Smelter Reference List'!$G$4,$S1173-4,0))</f>
        <v/>
      </c>
      <c r="I1173" s="294" t="str">
        <f ca="1">IF(ISERROR($S1173),"",OFFSET('Smelter Reference List'!$H$4,$S1173-4,0))</f>
        <v/>
      </c>
      <c r="J1173" s="294" t="str">
        <f ca="1">IF(ISERROR($S1173),"",OFFSET('Smelter Reference List'!$I$4,$S1173-4,0))</f>
        <v/>
      </c>
      <c r="K1173" s="295"/>
      <c r="L1173" s="295"/>
      <c r="M1173" s="295"/>
      <c r="N1173" s="295"/>
      <c r="O1173" s="295"/>
      <c r="P1173" s="295"/>
      <c r="Q1173" s="296"/>
      <c r="R1173" s="227"/>
      <c r="S1173" s="228" t="e">
        <f>IF(C1173="",NA(),MATCH($B1173&amp;$C1173,'Smelter Reference List'!$J:$J,0))</f>
        <v>#N/A</v>
      </c>
      <c r="T1173" s="229"/>
      <c r="U1173" s="229">
        <f t="shared" ca="1" si="38"/>
        <v>0</v>
      </c>
      <c r="V1173" s="229"/>
      <c r="W1173" s="229"/>
      <c r="Y1173" s="223" t="str">
        <f t="shared" si="39"/>
        <v/>
      </c>
    </row>
    <row r="1174" spans="1:25" s="223" customFormat="1" ht="20.25">
      <c r="A1174" s="291"/>
      <c r="B1174" s="292" t="str">
        <f>IF(LEN(A1174)=0,"",INDEX('Smelter Reference List'!$A:$A,MATCH($A1174,'Smelter Reference List'!$E:$E,0)))</f>
        <v/>
      </c>
      <c r="C1174" s="298" t="str">
        <f>IF(LEN(A1174)=0,"",INDEX('Smelter Reference List'!$C:$C,MATCH($A1174,'Smelter Reference List'!$E:$E,0)))</f>
        <v/>
      </c>
      <c r="D1174" s="292" t="str">
        <f ca="1">IF(ISERROR($S1174),"",OFFSET('Smelter Reference List'!$C$4,$S1174-4,0)&amp;"")</f>
        <v/>
      </c>
      <c r="E1174" s="292" t="str">
        <f ca="1">IF(ISERROR($S1174),"",OFFSET('Smelter Reference List'!$D$4,$S1174-4,0)&amp;"")</f>
        <v/>
      </c>
      <c r="F1174" s="292" t="str">
        <f ca="1">IF(ISERROR($S1174),"",OFFSET('Smelter Reference List'!$E$4,$S1174-4,0))</f>
        <v/>
      </c>
      <c r="G1174" s="292" t="str">
        <f ca="1">IF(C1174=$U$4,"Enter smelter details", IF(ISERROR($S1174),"",OFFSET('Smelter Reference List'!$F$4,$S1174-4,0)))</f>
        <v/>
      </c>
      <c r="H1174" s="293" t="str">
        <f ca="1">IF(ISERROR($S1174),"",OFFSET('Smelter Reference List'!$G$4,$S1174-4,0))</f>
        <v/>
      </c>
      <c r="I1174" s="294" t="str">
        <f ca="1">IF(ISERROR($S1174),"",OFFSET('Smelter Reference List'!$H$4,$S1174-4,0))</f>
        <v/>
      </c>
      <c r="J1174" s="294" t="str">
        <f ca="1">IF(ISERROR($S1174),"",OFFSET('Smelter Reference List'!$I$4,$S1174-4,0))</f>
        <v/>
      </c>
      <c r="K1174" s="295"/>
      <c r="L1174" s="295"/>
      <c r="M1174" s="295"/>
      <c r="N1174" s="295"/>
      <c r="O1174" s="295"/>
      <c r="P1174" s="295"/>
      <c r="Q1174" s="296"/>
      <c r="R1174" s="227"/>
      <c r="S1174" s="228" t="e">
        <f>IF(C1174="",NA(),MATCH($B1174&amp;$C1174,'Smelter Reference List'!$J:$J,0))</f>
        <v>#N/A</v>
      </c>
      <c r="T1174" s="229"/>
      <c r="U1174" s="229">
        <f t="shared" ca="1" si="38"/>
        <v>0</v>
      </c>
      <c r="V1174" s="229"/>
      <c r="W1174" s="229"/>
      <c r="Y1174" s="223" t="str">
        <f t="shared" si="39"/>
        <v/>
      </c>
    </row>
    <row r="1175" spans="1:25" s="223" customFormat="1" ht="20.25">
      <c r="A1175" s="291"/>
      <c r="B1175" s="292" t="str">
        <f>IF(LEN(A1175)=0,"",INDEX('Smelter Reference List'!$A:$A,MATCH($A1175,'Smelter Reference List'!$E:$E,0)))</f>
        <v/>
      </c>
      <c r="C1175" s="298" t="str">
        <f>IF(LEN(A1175)=0,"",INDEX('Smelter Reference List'!$C:$C,MATCH($A1175,'Smelter Reference List'!$E:$E,0)))</f>
        <v/>
      </c>
      <c r="D1175" s="292" t="str">
        <f ca="1">IF(ISERROR($S1175),"",OFFSET('Smelter Reference List'!$C$4,$S1175-4,0)&amp;"")</f>
        <v/>
      </c>
      <c r="E1175" s="292" t="str">
        <f ca="1">IF(ISERROR($S1175),"",OFFSET('Smelter Reference List'!$D$4,$S1175-4,0)&amp;"")</f>
        <v/>
      </c>
      <c r="F1175" s="292" t="str">
        <f ca="1">IF(ISERROR($S1175),"",OFFSET('Smelter Reference List'!$E$4,$S1175-4,0))</f>
        <v/>
      </c>
      <c r="G1175" s="292" t="str">
        <f ca="1">IF(C1175=$U$4,"Enter smelter details", IF(ISERROR($S1175),"",OFFSET('Smelter Reference List'!$F$4,$S1175-4,0)))</f>
        <v/>
      </c>
      <c r="H1175" s="293" t="str">
        <f ca="1">IF(ISERROR($S1175),"",OFFSET('Smelter Reference List'!$G$4,$S1175-4,0))</f>
        <v/>
      </c>
      <c r="I1175" s="294" t="str">
        <f ca="1">IF(ISERROR($S1175),"",OFFSET('Smelter Reference List'!$H$4,$S1175-4,0))</f>
        <v/>
      </c>
      <c r="J1175" s="294" t="str">
        <f ca="1">IF(ISERROR($S1175),"",OFFSET('Smelter Reference List'!$I$4,$S1175-4,0))</f>
        <v/>
      </c>
      <c r="K1175" s="295"/>
      <c r="L1175" s="295"/>
      <c r="M1175" s="295"/>
      <c r="N1175" s="295"/>
      <c r="O1175" s="295"/>
      <c r="P1175" s="295"/>
      <c r="Q1175" s="296"/>
      <c r="R1175" s="227"/>
      <c r="S1175" s="228" t="e">
        <f>IF(C1175="",NA(),MATCH($B1175&amp;$C1175,'Smelter Reference List'!$J:$J,0))</f>
        <v>#N/A</v>
      </c>
      <c r="T1175" s="229"/>
      <c r="U1175" s="229">
        <f t="shared" ca="1" si="38"/>
        <v>0</v>
      </c>
      <c r="V1175" s="229"/>
      <c r="W1175" s="229"/>
      <c r="Y1175" s="223" t="str">
        <f t="shared" si="39"/>
        <v/>
      </c>
    </row>
    <row r="1176" spans="1:25" s="223" customFormat="1" ht="20.25">
      <c r="A1176" s="291"/>
      <c r="B1176" s="292" t="str">
        <f>IF(LEN(A1176)=0,"",INDEX('Smelter Reference List'!$A:$A,MATCH($A1176,'Smelter Reference List'!$E:$E,0)))</f>
        <v/>
      </c>
      <c r="C1176" s="298" t="str">
        <f>IF(LEN(A1176)=0,"",INDEX('Smelter Reference List'!$C:$C,MATCH($A1176,'Smelter Reference List'!$E:$E,0)))</f>
        <v/>
      </c>
      <c r="D1176" s="292" t="str">
        <f ca="1">IF(ISERROR($S1176),"",OFFSET('Smelter Reference List'!$C$4,$S1176-4,0)&amp;"")</f>
        <v/>
      </c>
      <c r="E1176" s="292" t="str">
        <f ca="1">IF(ISERROR($S1176),"",OFFSET('Smelter Reference List'!$D$4,$S1176-4,0)&amp;"")</f>
        <v/>
      </c>
      <c r="F1176" s="292" t="str">
        <f ca="1">IF(ISERROR($S1176),"",OFFSET('Smelter Reference List'!$E$4,$S1176-4,0))</f>
        <v/>
      </c>
      <c r="G1176" s="292" t="str">
        <f ca="1">IF(C1176=$U$4,"Enter smelter details", IF(ISERROR($S1176),"",OFFSET('Smelter Reference List'!$F$4,$S1176-4,0)))</f>
        <v/>
      </c>
      <c r="H1176" s="293" t="str">
        <f ca="1">IF(ISERROR($S1176),"",OFFSET('Smelter Reference List'!$G$4,$S1176-4,0))</f>
        <v/>
      </c>
      <c r="I1176" s="294" t="str">
        <f ca="1">IF(ISERROR($S1176),"",OFFSET('Smelter Reference List'!$H$4,$S1176-4,0))</f>
        <v/>
      </c>
      <c r="J1176" s="294" t="str">
        <f ca="1">IF(ISERROR($S1176),"",OFFSET('Smelter Reference List'!$I$4,$S1176-4,0))</f>
        <v/>
      </c>
      <c r="K1176" s="295"/>
      <c r="L1176" s="295"/>
      <c r="M1176" s="295"/>
      <c r="N1176" s="295"/>
      <c r="O1176" s="295"/>
      <c r="P1176" s="295"/>
      <c r="Q1176" s="296"/>
      <c r="R1176" s="227"/>
      <c r="S1176" s="228" t="e">
        <f>IF(C1176="",NA(),MATCH($B1176&amp;$C1176,'Smelter Reference List'!$J:$J,0))</f>
        <v>#N/A</v>
      </c>
      <c r="T1176" s="229"/>
      <c r="U1176" s="229">
        <f t="shared" ca="1" si="38"/>
        <v>0</v>
      </c>
      <c r="V1176" s="229"/>
      <c r="W1176" s="229"/>
      <c r="Y1176" s="223" t="str">
        <f t="shared" si="39"/>
        <v/>
      </c>
    </row>
    <row r="1177" spans="1:25" s="223" customFormat="1" ht="20.25">
      <c r="A1177" s="291"/>
      <c r="B1177" s="292" t="str">
        <f>IF(LEN(A1177)=0,"",INDEX('Smelter Reference List'!$A:$A,MATCH($A1177,'Smelter Reference List'!$E:$E,0)))</f>
        <v/>
      </c>
      <c r="C1177" s="298" t="str">
        <f>IF(LEN(A1177)=0,"",INDEX('Smelter Reference List'!$C:$C,MATCH($A1177,'Smelter Reference List'!$E:$E,0)))</f>
        <v/>
      </c>
      <c r="D1177" s="292" t="str">
        <f ca="1">IF(ISERROR($S1177),"",OFFSET('Smelter Reference List'!$C$4,$S1177-4,0)&amp;"")</f>
        <v/>
      </c>
      <c r="E1177" s="292" t="str">
        <f ca="1">IF(ISERROR($S1177),"",OFFSET('Smelter Reference List'!$D$4,$S1177-4,0)&amp;"")</f>
        <v/>
      </c>
      <c r="F1177" s="292" t="str">
        <f ca="1">IF(ISERROR($S1177),"",OFFSET('Smelter Reference List'!$E$4,$S1177-4,0))</f>
        <v/>
      </c>
      <c r="G1177" s="292" t="str">
        <f ca="1">IF(C1177=$U$4,"Enter smelter details", IF(ISERROR($S1177),"",OFFSET('Smelter Reference List'!$F$4,$S1177-4,0)))</f>
        <v/>
      </c>
      <c r="H1177" s="293" t="str">
        <f ca="1">IF(ISERROR($S1177),"",OFFSET('Smelter Reference List'!$G$4,$S1177-4,0))</f>
        <v/>
      </c>
      <c r="I1177" s="294" t="str">
        <f ca="1">IF(ISERROR($S1177),"",OFFSET('Smelter Reference List'!$H$4,$S1177-4,0))</f>
        <v/>
      </c>
      <c r="J1177" s="294" t="str">
        <f ca="1">IF(ISERROR($S1177),"",OFFSET('Smelter Reference List'!$I$4,$S1177-4,0))</f>
        <v/>
      </c>
      <c r="K1177" s="295"/>
      <c r="L1177" s="295"/>
      <c r="M1177" s="295"/>
      <c r="N1177" s="295"/>
      <c r="O1177" s="295"/>
      <c r="P1177" s="295"/>
      <c r="Q1177" s="296"/>
      <c r="R1177" s="227"/>
      <c r="S1177" s="228" t="e">
        <f>IF(C1177="",NA(),MATCH($B1177&amp;$C1177,'Smelter Reference List'!$J:$J,0))</f>
        <v>#N/A</v>
      </c>
      <c r="T1177" s="229"/>
      <c r="U1177" s="229">
        <f t="shared" ca="1" si="38"/>
        <v>0</v>
      </c>
      <c r="V1177" s="229"/>
      <c r="W1177" s="229"/>
      <c r="Y1177" s="223" t="str">
        <f t="shared" si="39"/>
        <v/>
      </c>
    </row>
    <row r="1178" spans="1:25" s="223" customFormat="1" ht="20.25">
      <c r="A1178" s="291"/>
      <c r="B1178" s="292" t="str">
        <f>IF(LEN(A1178)=0,"",INDEX('Smelter Reference List'!$A:$A,MATCH($A1178,'Smelter Reference List'!$E:$E,0)))</f>
        <v/>
      </c>
      <c r="C1178" s="298" t="str">
        <f>IF(LEN(A1178)=0,"",INDEX('Smelter Reference List'!$C:$C,MATCH($A1178,'Smelter Reference List'!$E:$E,0)))</f>
        <v/>
      </c>
      <c r="D1178" s="292" t="str">
        <f ca="1">IF(ISERROR($S1178),"",OFFSET('Smelter Reference List'!$C$4,$S1178-4,0)&amp;"")</f>
        <v/>
      </c>
      <c r="E1178" s="292" t="str">
        <f ca="1">IF(ISERROR($S1178),"",OFFSET('Smelter Reference List'!$D$4,$S1178-4,0)&amp;"")</f>
        <v/>
      </c>
      <c r="F1178" s="292" t="str">
        <f ca="1">IF(ISERROR($S1178),"",OFFSET('Smelter Reference List'!$E$4,$S1178-4,0))</f>
        <v/>
      </c>
      <c r="G1178" s="292" t="str">
        <f ca="1">IF(C1178=$U$4,"Enter smelter details", IF(ISERROR($S1178),"",OFFSET('Smelter Reference List'!$F$4,$S1178-4,0)))</f>
        <v/>
      </c>
      <c r="H1178" s="293" t="str">
        <f ca="1">IF(ISERROR($S1178),"",OFFSET('Smelter Reference List'!$G$4,$S1178-4,0))</f>
        <v/>
      </c>
      <c r="I1178" s="294" t="str">
        <f ca="1">IF(ISERROR($S1178),"",OFFSET('Smelter Reference List'!$H$4,$S1178-4,0))</f>
        <v/>
      </c>
      <c r="J1178" s="294" t="str">
        <f ca="1">IF(ISERROR($S1178),"",OFFSET('Smelter Reference List'!$I$4,$S1178-4,0))</f>
        <v/>
      </c>
      <c r="K1178" s="295"/>
      <c r="L1178" s="295"/>
      <c r="M1178" s="295"/>
      <c r="N1178" s="295"/>
      <c r="O1178" s="295"/>
      <c r="P1178" s="295"/>
      <c r="Q1178" s="296"/>
      <c r="R1178" s="227"/>
      <c r="S1178" s="228" t="e">
        <f>IF(C1178="",NA(),MATCH($B1178&amp;$C1178,'Smelter Reference List'!$J:$J,0))</f>
        <v>#N/A</v>
      </c>
      <c r="T1178" s="229"/>
      <c r="U1178" s="229">
        <f t="shared" ca="1" si="38"/>
        <v>0</v>
      </c>
      <c r="V1178" s="229"/>
      <c r="W1178" s="229"/>
      <c r="Y1178" s="223" t="str">
        <f t="shared" si="39"/>
        <v/>
      </c>
    </row>
    <row r="1179" spans="1:25" s="223" customFormat="1" ht="20.25">
      <c r="A1179" s="291"/>
      <c r="B1179" s="292" t="str">
        <f>IF(LEN(A1179)=0,"",INDEX('Smelter Reference List'!$A:$A,MATCH($A1179,'Smelter Reference List'!$E:$E,0)))</f>
        <v/>
      </c>
      <c r="C1179" s="298" t="str">
        <f>IF(LEN(A1179)=0,"",INDEX('Smelter Reference List'!$C:$C,MATCH($A1179,'Smelter Reference List'!$E:$E,0)))</f>
        <v/>
      </c>
      <c r="D1179" s="292" t="str">
        <f ca="1">IF(ISERROR($S1179),"",OFFSET('Smelter Reference List'!$C$4,$S1179-4,0)&amp;"")</f>
        <v/>
      </c>
      <c r="E1179" s="292" t="str">
        <f ca="1">IF(ISERROR($S1179),"",OFFSET('Smelter Reference List'!$D$4,$S1179-4,0)&amp;"")</f>
        <v/>
      </c>
      <c r="F1179" s="292" t="str">
        <f ca="1">IF(ISERROR($S1179),"",OFFSET('Smelter Reference List'!$E$4,$S1179-4,0))</f>
        <v/>
      </c>
      <c r="G1179" s="292" t="str">
        <f ca="1">IF(C1179=$U$4,"Enter smelter details", IF(ISERROR($S1179),"",OFFSET('Smelter Reference List'!$F$4,$S1179-4,0)))</f>
        <v/>
      </c>
      <c r="H1179" s="293" t="str">
        <f ca="1">IF(ISERROR($S1179),"",OFFSET('Smelter Reference List'!$G$4,$S1179-4,0))</f>
        <v/>
      </c>
      <c r="I1179" s="294" t="str">
        <f ca="1">IF(ISERROR($S1179),"",OFFSET('Smelter Reference List'!$H$4,$S1179-4,0))</f>
        <v/>
      </c>
      <c r="J1179" s="294" t="str">
        <f ca="1">IF(ISERROR($S1179),"",OFFSET('Smelter Reference List'!$I$4,$S1179-4,0))</f>
        <v/>
      </c>
      <c r="K1179" s="295"/>
      <c r="L1179" s="295"/>
      <c r="M1179" s="295"/>
      <c r="N1179" s="295"/>
      <c r="O1179" s="295"/>
      <c r="P1179" s="295"/>
      <c r="Q1179" s="296"/>
      <c r="R1179" s="227"/>
      <c r="S1179" s="228" t="e">
        <f>IF(C1179="",NA(),MATCH($B1179&amp;$C1179,'Smelter Reference List'!$J:$J,0))</f>
        <v>#N/A</v>
      </c>
      <c r="T1179" s="229"/>
      <c r="U1179" s="229">
        <f t="shared" ca="1" si="38"/>
        <v>0</v>
      </c>
      <c r="V1179" s="229"/>
      <c r="W1179" s="229"/>
      <c r="Y1179" s="223" t="str">
        <f t="shared" si="39"/>
        <v/>
      </c>
    </row>
    <row r="1180" spans="1:25" s="223" customFormat="1" ht="20.25">
      <c r="A1180" s="291"/>
      <c r="B1180" s="292" t="str">
        <f>IF(LEN(A1180)=0,"",INDEX('Smelter Reference List'!$A:$A,MATCH($A1180,'Smelter Reference List'!$E:$E,0)))</f>
        <v/>
      </c>
      <c r="C1180" s="298" t="str">
        <f>IF(LEN(A1180)=0,"",INDEX('Smelter Reference List'!$C:$C,MATCH($A1180,'Smelter Reference List'!$E:$E,0)))</f>
        <v/>
      </c>
      <c r="D1180" s="292" t="str">
        <f ca="1">IF(ISERROR($S1180),"",OFFSET('Smelter Reference List'!$C$4,$S1180-4,0)&amp;"")</f>
        <v/>
      </c>
      <c r="E1180" s="292" t="str">
        <f ca="1">IF(ISERROR($S1180),"",OFFSET('Smelter Reference List'!$D$4,$S1180-4,0)&amp;"")</f>
        <v/>
      </c>
      <c r="F1180" s="292" t="str">
        <f ca="1">IF(ISERROR($S1180),"",OFFSET('Smelter Reference List'!$E$4,$S1180-4,0))</f>
        <v/>
      </c>
      <c r="G1180" s="292" t="str">
        <f ca="1">IF(C1180=$U$4,"Enter smelter details", IF(ISERROR($S1180),"",OFFSET('Smelter Reference List'!$F$4,$S1180-4,0)))</f>
        <v/>
      </c>
      <c r="H1180" s="293" t="str">
        <f ca="1">IF(ISERROR($S1180),"",OFFSET('Smelter Reference List'!$G$4,$S1180-4,0))</f>
        <v/>
      </c>
      <c r="I1180" s="294" t="str">
        <f ca="1">IF(ISERROR($S1180),"",OFFSET('Smelter Reference List'!$H$4,$S1180-4,0))</f>
        <v/>
      </c>
      <c r="J1180" s="294" t="str">
        <f ca="1">IF(ISERROR($S1180),"",OFFSET('Smelter Reference List'!$I$4,$S1180-4,0))</f>
        <v/>
      </c>
      <c r="K1180" s="295"/>
      <c r="L1180" s="295"/>
      <c r="M1180" s="295"/>
      <c r="N1180" s="295"/>
      <c r="O1180" s="295"/>
      <c r="P1180" s="295"/>
      <c r="Q1180" s="296"/>
      <c r="R1180" s="227"/>
      <c r="S1180" s="228" t="e">
        <f>IF(C1180="",NA(),MATCH($B1180&amp;$C1180,'Smelter Reference List'!$J:$J,0))</f>
        <v>#N/A</v>
      </c>
      <c r="T1180" s="229"/>
      <c r="U1180" s="229">
        <f t="shared" ca="1" si="38"/>
        <v>0</v>
      </c>
      <c r="V1180" s="229"/>
      <c r="W1180" s="229"/>
      <c r="Y1180" s="223" t="str">
        <f t="shared" si="39"/>
        <v/>
      </c>
    </row>
    <row r="1181" spans="1:25" s="223" customFormat="1" ht="20.25">
      <c r="A1181" s="291"/>
      <c r="B1181" s="292" t="str">
        <f>IF(LEN(A1181)=0,"",INDEX('Smelter Reference List'!$A:$A,MATCH($A1181,'Smelter Reference List'!$E:$E,0)))</f>
        <v/>
      </c>
      <c r="C1181" s="298" t="str">
        <f>IF(LEN(A1181)=0,"",INDEX('Smelter Reference List'!$C:$C,MATCH($A1181,'Smelter Reference List'!$E:$E,0)))</f>
        <v/>
      </c>
      <c r="D1181" s="292" t="str">
        <f ca="1">IF(ISERROR($S1181),"",OFFSET('Smelter Reference List'!$C$4,$S1181-4,0)&amp;"")</f>
        <v/>
      </c>
      <c r="E1181" s="292" t="str">
        <f ca="1">IF(ISERROR($S1181),"",OFFSET('Smelter Reference List'!$D$4,$S1181-4,0)&amp;"")</f>
        <v/>
      </c>
      <c r="F1181" s="292" t="str">
        <f ca="1">IF(ISERROR($S1181),"",OFFSET('Smelter Reference List'!$E$4,$S1181-4,0))</f>
        <v/>
      </c>
      <c r="G1181" s="292" t="str">
        <f ca="1">IF(C1181=$U$4,"Enter smelter details", IF(ISERROR($S1181),"",OFFSET('Smelter Reference List'!$F$4,$S1181-4,0)))</f>
        <v/>
      </c>
      <c r="H1181" s="293" t="str">
        <f ca="1">IF(ISERROR($S1181),"",OFFSET('Smelter Reference List'!$G$4,$S1181-4,0))</f>
        <v/>
      </c>
      <c r="I1181" s="294" t="str">
        <f ca="1">IF(ISERROR($S1181),"",OFFSET('Smelter Reference List'!$H$4,$S1181-4,0))</f>
        <v/>
      </c>
      <c r="J1181" s="294" t="str">
        <f ca="1">IF(ISERROR($S1181),"",OFFSET('Smelter Reference List'!$I$4,$S1181-4,0))</f>
        <v/>
      </c>
      <c r="K1181" s="295"/>
      <c r="L1181" s="295"/>
      <c r="M1181" s="295"/>
      <c r="N1181" s="295"/>
      <c r="O1181" s="295"/>
      <c r="P1181" s="295"/>
      <c r="Q1181" s="296"/>
      <c r="R1181" s="227"/>
      <c r="S1181" s="228" t="e">
        <f>IF(C1181="",NA(),MATCH($B1181&amp;$C1181,'Smelter Reference List'!$J:$J,0))</f>
        <v>#N/A</v>
      </c>
      <c r="T1181" s="229"/>
      <c r="U1181" s="229">
        <f t="shared" ca="1" si="38"/>
        <v>0</v>
      </c>
      <c r="V1181" s="229"/>
      <c r="W1181" s="229"/>
      <c r="Y1181" s="223" t="str">
        <f t="shared" si="39"/>
        <v/>
      </c>
    </row>
    <row r="1182" spans="1:25" s="223" customFormat="1" ht="20.25">
      <c r="A1182" s="291"/>
      <c r="B1182" s="292" t="str">
        <f>IF(LEN(A1182)=0,"",INDEX('Smelter Reference List'!$A:$A,MATCH($A1182,'Smelter Reference List'!$E:$E,0)))</f>
        <v/>
      </c>
      <c r="C1182" s="298" t="str">
        <f>IF(LEN(A1182)=0,"",INDEX('Smelter Reference List'!$C:$C,MATCH($A1182,'Smelter Reference List'!$E:$E,0)))</f>
        <v/>
      </c>
      <c r="D1182" s="292" t="str">
        <f ca="1">IF(ISERROR($S1182),"",OFFSET('Smelter Reference List'!$C$4,$S1182-4,0)&amp;"")</f>
        <v/>
      </c>
      <c r="E1182" s="292" t="str">
        <f ca="1">IF(ISERROR($S1182),"",OFFSET('Smelter Reference List'!$D$4,$S1182-4,0)&amp;"")</f>
        <v/>
      </c>
      <c r="F1182" s="292" t="str">
        <f ca="1">IF(ISERROR($S1182),"",OFFSET('Smelter Reference List'!$E$4,$S1182-4,0))</f>
        <v/>
      </c>
      <c r="G1182" s="292" t="str">
        <f ca="1">IF(C1182=$U$4,"Enter smelter details", IF(ISERROR($S1182),"",OFFSET('Smelter Reference List'!$F$4,$S1182-4,0)))</f>
        <v/>
      </c>
      <c r="H1182" s="293" t="str">
        <f ca="1">IF(ISERROR($S1182),"",OFFSET('Smelter Reference List'!$G$4,$S1182-4,0))</f>
        <v/>
      </c>
      <c r="I1182" s="294" t="str">
        <f ca="1">IF(ISERROR($S1182),"",OFFSET('Smelter Reference List'!$H$4,$S1182-4,0))</f>
        <v/>
      </c>
      <c r="J1182" s="294" t="str">
        <f ca="1">IF(ISERROR($S1182),"",OFFSET('Smelter Reference List'!$I$4,$S1182-4,0))</f>
        <v/>
      </c>
      <c r="K1182" s="295"/>
      <c r="L1182" s="295"/>
      <c r="M1182" s="295"/>
      <c r="N1182" s="295"/>
      <c r="O1182" s="295"/>
      <c r="P1182" s="295"/>
      <c r="Q1182" s="296"/>
      <c r="R1182" s="227"/>
      <c r="S1182" s="228" t="e">
        <f>IF(C1182="",NA(),MATCH($B1182&amp;$C1182,'Smelter Reference List'!$J:$J,0))</f>
        <v>#N/A</v>
      </c>
      <c r="T1182" s="229"/>
      <c r="U1182" s="229">
        <f t="shared" ca="1" si="38"/>
        <v>0</v>
      </c>
      <c r="V1182" s="229"/>
      <c r="W1182" s="229"/>
      <c r="Y1182" s="223" t="str">
        <f t="shared" si="39"/>
        <v/>
      </c>
    </row>
    <row r="1183" spans="1:25" s="223" customFormat="1" ht="20.25">
      <c r="A1183" s="291"/>
      <c r="B1183" s="292" t="str">
        <f>IF(LEN(A1183)=0,"",INDEX('Smelter Reference List'!$A:$A,MATCH($A1183,'Smelter Reference List'!$E:$E,0)))</f>
        <v/>
      </c>
      <c r="C1183" s="298" t="str">
        <f>IF(LEN(A1183)=0,"",INDEX('Smelter Reference List'!$C:$C,MATCH($A1183,'Smelter Reference List'!$E:$E,0)))</f>
        <v/>
      </c>
      <c r="D1183" s="292" t="str">
        <f ca="1">IF(ISERROR($S1183),"",OFFSET('Smelter Reference List'!$C$4,$S1183-4,0)&amp;"")</f>
        <v/>
      </c>
      <c r="E1183" s="292" t="str">
        <f ca="1">IF(ISERROR($S1183),"",OFFSET('Smelter Reference List'!$D$4,$S1183-4,0)&amp;"")</f>
        <v/>
      </c>
      <c r="F1183" s="292" t="str">
        <f ca="1">IF(ISERROR($S1183),"",OFFSET('Smelter Reference List'!$E$4,$S1183-4,0))</f>
        <v/>
      </c>
      <c r="G1183" s="292" t="str">
        <f ca="1">IF(C1183=$U$4,"Enter smelter details", IF(ISERROR($S1183),"",OFFSET('Smelter Reference List'!$F$4,$S1183-4,0)))</f>
        <v/>
      </c>
      <c r="H1183" s="293" t="str">
        <f ca="1">IF(ISERROR($S1183),"",OFFSET('Smelter Reference List'!$G$4,$S1183-4,0))</f>
        <v/>
      </c>
      <c r="I1183" s="294" t="str">
        <f ca="1">IF(ISERROR($S1183),"",OFFSET('Smelter Reference List'!$H$4,$S1183-4,0))</f>
        <v/>
      </c>
      <c r="J1183" s="294" t="str">
        <f ca="1">IF(ISERROR($S1183),"",OFFSET('Smelter Reference List'!$I$4,$S1183-4,0))</f>
        <v/>
      </c>
      <c r="K1183" s="295"/>
      <c r="L1183" s="295"/>
      <c r="M1183" s="295"/>
      <c r="N1183" s="295"/>
      <c r="O1183" s="295"/>
      <c r="P1183" s="295"/>
      <c r="Q1183" s="296"/>
      <c r="R1183" s="227"/>
      <c r="S1183" s="228" t="e">
        <f>IF(C1183="",NA(),MATCH($B1183&amp;$C1183,'Smelter Reference List'!$J:$J,0))</f>
        <v>#N/A</v>
      </c>
      <c r="T1183" s="229"/>
      <c r="U1183" s="229">
        <f t="shared" ca="1" si="38"/>
        <v>0</v>
      </c>
      <c r="V1183" s="229"/>
      <c r="W1183" s="229"/>
      <c r="Y1183" s="223" t="str">
        <f t="shared" si="39"/>
        <v/>
      </c>
    </row>
    <row r="1184" spans="1:25" s="223" customFormat="1" ht="20.25">
      <c r="A1184" s="291"/>
      <c r="B1184" s="292" t="str">
        <f>IF(LEN(A1184)=0,"",INDEX('Smelter Reference List'!$A:$A,MATCH($A1184,'Smelter Reference List'!$E:$E,0)))</f>
        <v/>
      </c>
      <c r="C1184" s="298" t="str">
        <f>IF(LEN(A1184)=0,"",INDEX('Smelter Reference List'!$C:$C,MATCH($A1184,'Smelter Reference List'!$E:$E,0)))</f>
        <v/>
      </c>
      <c r="D1184" s="292" t="str">
        <f ca="1">IF(ISERROR($S1184),"",OFFSET('Smelter Reference List'!$C$4,$S1184-4,0)&amp;"")</f>
        <v/>
      </c>
      <c r="E1184" s="292" t="str">
        <f ca="1">IF(ISERROR($S1184),"",OFFSET('Smelter Reference List'!$D$4,$S1184-4,0)&amp;"")</f>
        <v/>
      </c>
      <c r="F1184" s="292" t="str">
        <f ca="1">IF(ISERROR($S1184),"",OFFSET('Smelter Reference List'!$E$4,$S1184-4,0))</f>
        <v/>
      </c>
      <c r="G1184" s="292" t="str">
        <f ca="1">IF(C1184=$U$4,"Enter smelter details", IF(ISERROR($S1184),"",OFFSET('Smelter Reference List'!$F$4,$S1184-4,0)))</f>
        <v/>
      </c>
      <c r="H1184" s="293" t="str">
        <f ca="1">IF(ISERROR($S1184),"",OFFSET('Smelter Reference List'!$G$4,$S1184-4,0))</f>
        <v/>
      </c>
      <c r="I1184" s="294" t="str">
        <f ca="1">IF(ISERROR($S1184),"",OFFSET('Smelter Reference List'!$H$4,$S1184-4,0))</f>
        <v/>
      </c>
      <c r="J1184" s="294" t="str">
        <f ca="1">IF(ISERROR($S1184),"",OFFSET('Smelter Reference List'!$I$4,$S1184-4,0))</f>
        <v/>
      </c>
      <c r="K1184" s="295"/>
      <c r="L1184" s="295"/>
      <c r="M1184" s="295"/>
      <c r="N1184" s="295"/>
      <c r="O1184" s="295"/>
      <c r="P1184" s="295"/>
      <c r="Q1184" s="296"/>
      <c r="R1184" s="227"/>
      <c r="S1184" s="228" t="e">
        <f>IF(C1184="",NA(),MATCH($B1184&amp;$C1184,'Smelter Reference List'!$J:$J,0))</f>
        <v>#N/A</v>
      </c>
      <c r="T1184" s="229"/>
      <c r="U1184" s="229">
        <f t="shared" ca="1" si="38"/>
        <v>0</v>
      </c>
      <c r="V1184" s="229"/>
      <c r="W1184" s="229"/>
      <c r="Y1184" s="223" t="str">
        <f t="shared" si="39"/>
        <v/>
      </c>
    </row>
    <row r="1185" spans="1:25" s="223" customFormat="1" ht="20.25">
      <c r="A1185" s="291"/>
      <c r="B1185" s="292" t="str">
        <f>IF(LEN(A1185)=0,"",INDEX('Smelter Reference List'!$A:$A,MATCH($A1185,'Smelter Reference List'!$E:$E,0)))</f>
        <v/>
      </c>
      <c r="C1185" s="298" t="str">
        <f>IF(LEN(A1185)=0,"",INDEX('Smelter Reference List'!$C:$C,MATCH($A1185,'Smelter Reference List'!$E:$E,0)))</f>
        <v/>
      </c>
      <c r="D1185" s="292" t="str">
        <f ca="1">IF(ISERROR($S1185),"",OFFSET('Smelter Reference List'!$C$4,$S1185-4,0)&amp;"")</f>
        <v/>
      </c>
      <c r="E1185" s="292" t="str">
        <f ca="1">IF(ISERROR($S1185),"",OFFSET('Smelter Reference List'!$D$4,$S1185-4,0)&amp;"")</f>
        <v/>
      </c>
      <c r="F1185" s="292" t="str">
        <f ca="1">IF(ISERROR($S1185),"",OFFSET('Smelter Reference List'!$E$4,$S1185-4,0))</f>
        <v/>
      </c>
      <c r="G1185" s="292" t="str">
        <f ca="1">IF(C1185=$U$4,"Enter smelter details", IF(ISERROR($S1185),"",OFFSET('Smelter Reference List'!$F$4,$S1185-4,0)))</f>
        <v/>
      </c>
      <c r="H1185" s="293" t="str">
        <f ca="1">IF(ISERROR($S1185),"",OFFSET('Smelter Reference List'!$G$4,$S1185-4,0))</f>
        <v/>
      </c>
      <c r="I1185" s="294" t="str">
        <f ca="1">IF(ISERROR($S1185),"",OFFSET('Smelter Reference List'!$H$4,$S1185-4,0))</f>
        <v/>
      </c>
      <c r="J1185" s="294" t="str">
        <f ca="1">IF(ISERROR($S1185),"",OFFSET('Smelter Reference List'!$I$4,$S1185-4,0))</f>
        <v/>
      </c>
      <c r="K1185" s="295"/>
      <c r="L1185" s="295"/>
      <c r="M1185" s="295"/>
      <c r="N1185" s="295"/>
      <c r="O1185" s="295"/>
      <c r="P1185" s="295"/>
      <c r="Q1185" s="296"/>
      <c r="R1185" s="227"/>
      <c r="S1185" s="228" t="e">
        <f>IF(C1185="",NA(),MATCH($B1185&amp;$C1185,'Smelter Reference List'!$J:$J,0))</f>
        <v>#N/A</v>
      </c>
      <c r="T1185" s="229"/>
      <c r="U1185" s="229">
        <f t="shared" ca="1" si="38"/>
        <v>0</v>
      </c>
      <c r="V1185" s="229"/>
      <c r="W1185" s="229"/>
      <c r="Y1185" s="223" t="str">
        <f t="shared" si="39"/>
        <v/>
      </c>
    </row>
    <row r="1186" spans="1:25" s="223" customFormat="1" ht="20.25">
      <c r="A1186" s="291"/>
      <c r="B1186" s="292" t="str">
        <f>IF(LEN(A1186)=0,"",INDEX('Smelter Reference List'!$A:$A,MATCH($A1186,'Smelter Reference List'!$E:$E,0)))</f>
        <v/>
      </c>
      <c r="C1186" s="298" t="str">
        <f>IF(LEN(A1186)=0,"",INDEX('Smelter Reference List'!$C:$C,MATCH($A1186,'Smelter Reference List'!$E:$E,0)))</f>
        <v/>
      </c>
      <c r="D1186" s="292" t="str">
        <f ca="1">IF(ISERROR($S1186),"",OFFSET('Smelter Reference List'!$C$4,$S1186-4,0)&amp;"")</f>
        <v/>
      </c>
      <c r="E1186" s="292" t="str">
        <f ca="1">IF(ISERROR($S1186),"",OFFSET('Smelter Reference List'!$D$4,$S1186-4,0)&amp;"")</f>
        <v/>
      </c>
      <c r="F1186" s="292" t="str">
        <f ca="1">IF(ISERROR($S1186),"",OFFSET('Smelter Reference List'!$E$4,$S1186-4,0))</f>
        <v/>
      </c>
      <c r="G1186" s="292" t="str">
        <f ca="1">IF(C1186=$U$4,"Enter smelter details", IF(ISERROR($S1186),"",OFFSET('Smelter Reference List'!$F$4,$S1186-4,0)))</f>
        <v/>
      </c>
      <c r="H1186" s="293" t="str">
        <f ca="1">IF(ISERROR($S1186),"",OFFSET('Smelter Reference List'!$G$4,$S1186-4,0))</f>
        <v/>
      </c>
      <c r="I1186" s="294" t="str">
        <f ca="1">IF(ISERROR($S1186),"",OFFSET('Smelter Reference List'!$H$4,$S1186-4,0))</f>
        <v/>
      </c>
      <c r="J1186" s="294" t="str">
        <f ca="1">IF(ISERROR($S1186),"",OFFSET('Smelter Reference List'!$I$4,$S1186-4,0))</f>
        <v/>
      </c>
      <c r="K1186" s="295"/>
      <c r="L1186" s="295"/>
      <c r="M1186" s="295"/>
      <c r="N1186" s="295"/>
      <c r="O1186" s="295"/>
      <c r="P1186" s="295"/>
      <c r="Q1186" s="296"/>
      <c r="R1186" s="227"/>
      <c r="S1186" s="228" t="e">
        <f>IF(C1186="",NA(),MATCH($B1186&amp;$C1186,'Smelter Reference List'!$J:$J,0))</f>
        <v>#N/A</v>
      </c>
      <c r="T1186" s="229"/>
      <c r="U1186" s="229">
        <f t="shared" ca="1" si="38"/>
        <v>0</v>
      </c>
      <c r="V1186" s="229"/>
      <c r="W1186" s="229"/>
      <c r="Y1186" s="223" t="str">
        <f t="shared" si="39"/>
        <v/>
      </c>
    </row>
    <row r="1187" spans="1:25" s="223" customFormat="1" ht="20.25">
      <c r="A1187" s="291"/>
      <c r="B1187" s="292" t="str">
        <f>IF(LEN(A1187)=0,"",INDEX('Smelter Reference List'!$A:$A,MATCH($A1187,'Smelter Reference List'!$E:$E,0)))</f>
        <v/>
      </c>
      <c r="C1187" s="298" t="str">
        <f>IF(LEN(A1187)=0,"",INDEX('Smelter Reference List'!$C:$C,MATCH($A1187,'Smelter Reference List'!$E:$E,0)))</f>
        <v/>
      </c>
      <c r="D1187" s="292" t="str">
        <f ca="1">IF(ISERROR($S1187),"",OFFSET('Smelter Reference List'!$C$4,$S1187-4,0)&amp;"")</f>
        <v/>
      </c>
      <c r="E1187" s="292" t="str">
        <f ca="1">IF(ISERROR($S1187),"",OFFSET('Smelter Reference List'!$D$4,$S1187-4,0)&amp;"")</f>
        <v/>
      </c>
      <c r="F1187" s="292" t="str">
        <f ca="1">IF(ISERROR($S1187),"",OFFSET('Smelter Reference List'!$E$4,$S1187-4,0))</f>
        <v/>
      </c>
      <c r="G1187" s="292" t="str">
        <f ca="1">IF(C1187=$U$4,"Enter smelter details", IF(ISERROR($S1187),"",OFFSET('Smelter Reference List'!$F$4,$S1187-4,0)))</f>
        <v/>
      </c>
      <c r="H1187" s="293" t="str">
        <f ca="1">IF(ISERROR($S1187),"",OFFSET('Smelter Reference List'!$G$4,$S1187-4,0))</f>
        <v/>
      </c>
      <c r="I1187" s="294" t="str">
        <f ca="1">IF(ISERROR($S1187),"",OFFSET('Smelter Reference List'!$H$4,$S1187-4,0))</f>
        <v/>
      </c>
      <c r="J1187" s="294" t="str">
        <f ca="1">IF(ISERROR($S1187),"",OFFSET('Smelter Reference List'!$I$4,$S1187-4,0))</f>
        <v/>
      </c>
      <c r="K1187" s="295"/>
      <c r="L1187" s="295"/>
      <c r="M1187" s="295"/>
      <c r="N1187" s="295"/>
      <c r="O1187" s="295"/>
      <c r="P1187" s="295"/>
      <c r="Q1187" s="296"/>
      <c r="R1187" s="227"/>
      <c r="S1187" s="228" t="e">
        <f>IF(C1187="",NA(),MATCH($B1187&amp;$C1187,'Smelter Reference List'!$J:$J,0))</f>
        <v>#N/A</v>
      </c>
      <c r="T1187" s="229"/>
      <c r="U1187" s="229">
        <f t="shared" ca="1" si="38"/>
        <v>0</v>
      </c>
      <c r="V1187" s="229"/>
      <c r="W1187" s="229"/>
      <c r="Y1187" s="223" t="str">
        <f t="shared" si="39"/>
        <v/>
      </c>
    </row>
    <row r="1188" spans="1:25" s="223" customFormat="1" ht="20.25">
      <c r="A1188" s="291"/>
      <c r="B1188" s="292" t="str">
        <f>IF(LEN(A1188)=0,"",INDEX('Smelter Reference List'!$A:$A,MATCH($A1188,'Smelter Reference List'!$E:$E,0)))</f>
        <v/>
      </c>
      <c r="C1188" s="298" t="str">
        <f>IF(LEN(A1188)=0,"",INDEX('Smelter Reference List'!$C:$C,MATCH($A1188,'Smelter Reference List'!$E:$E,0)))</f>
        <v/>
      </c>
      <c r="D1188" s="292" t="str">
        <f ca="1">IF(ISERROR($S1188),"",OFFSET('Smelter Reference List'!$C$4,$S1188-4,0)&amp;"")</f>
        <v/>
      </c>
      <c r="E1188" s="292" t="str">
        <f ca="1">IF(ISERROR($S1188),"",OFFSET('Smelter Reference List'!$D$4,$S1188-4,0)&amp;"")</f>
        <v/>
      </c>
      <c r="F1188" s="292" t="str">
        <f ca="1">IF(ISERROR($S1188),"",OFFSET('Smelter Reference List'!$E$4,$S1188-4,0))</f>
        <v/>
      </c>
      <c r="G1188" s="292" t="str">
        <f ca="1">IF(C1188=$U$4,"Enter smelter details", IF(ISERROR($S1188),"",OFFSET('Smelter Reference List'!$F$4,$S1188-4,0)))</f>
        <v/>
      </c>
      <c r="H1188" s="293" t="str">
        <f ca="1">IF(ISERROR($S1188),"",OFFSET('Smelter Reference List'!$G$4,$S1188-4,0))</f>
        <v/>
      </c>
      <c r="I1188" s="294" t="str">
        <f ca="1">IF(ISERROR($S1188),"",OFFSET('Smelter Reference List'!$H$4,$S1188-4,0))</f>
        <v/>
      </c>
      <c r="J1188" s="294" t="str">
        <f ca="1">IF(ISERROR($S1188),"",OFFSET('Smelter Reference List'!$I$4,$S1188-4,0))</f>
        <v/>
      </c>
      <c r="K1188" s="295"/>
      <c r="L1188" s="295"/>
      <c r="M1188" s="295"/>
      <c r="N1188" s="295"/>
      <c r="O1188" s="295"/>
      <c r="P1188" s="295"/>
      <c r="Q1188" s="296"/>
      <c r="R1188" s="227"/>
      <c r="S1188" s="228" t="e">
        <f>IF(C1188="",NA(),MATCH($B1188&amp;$C1188,'Smelter Reference List'!$J:$J,0))</f>
        <v>#N/A</v>
      </c>
      <c r="T1188" s="229"/>
      <c r="U1188" s="229">
        <f t="shared" ca="1" si="38"/>
        <v>0</v>
      </c>
      <c r="V1188" s="229"/>
      <c r="W1188" s="229"/>
      <c r="Y1188" s="223" t="str">
        <f t="shared" si="39"/>
        <v/>
      </c>
    </row>
    <row r="1189" spans="1:25" s="223" customFormat="1" ht="20.25">
      <c r="A1189" s="291"/>
      <c r="B1189" s="292" t="str">
        <f>IF(LEN(A1189)=0,"",INDEX('Smelter Reference List'!$A:$A,MATCH($A1189,'Smelter Reference List'!$E:$E,0)))</f>
        <v/>
      </c>
      <c r="C1189" s="298" t="str">
        <f>IF(LEN(A1189)=0,"",INDEX('Smelter Reference List'!$C:$C,MATCH($A1189,'Smelter Reference List'!$E:$E,0)))</f>
        <v/>
      </c>
      <c r="D1189" s="292" t="str">
        <f ca="1">IF(ISERROR($S1189),"",OFFSET('Smelter Reference List'!$C$4,$S1189-4,0)&amp;"")</f>
        <v/>
      </c>
      <c r="E1189" s="292" t="str">
        <f ca="1">IF(ISERROR($S1189),"",OFFSET('Smelter Reference List'!$D$4,$S1189-4,0)&amp;"")</f>
        <v/>
      </c>
      <c r="F1189" s="292" t="str">
        <f ca="1">IF(ISERROR($S1189),"",OFFSET('Smelter Reference List'!$E$4,$S1189-4,0))</f>
        <v/>
      </c>
      <c r="G1189" s="292" t="str">
        <f ca="1">IF(C1189=$U$4,"Enter smelter details", IF(ISERROR($S1189),"",OFFSET('Smelter Reference List'!$F$4,$S1189-4,0)))</f>
        <v/>
      </c>
      <c r="H1189" s="293" t="str">
        <f ca="1">IF(ISERROR($S1189),"",OFFSET('Smelter Reference List'!$G$4,$S1189-4,0))</f>
        <v/>
      </c>
      <c r="I1189" s="294" t="str">
        <f ca="1">IF(ISERROR($S1189),"",OFFSET('Smelter Reference List'!$H$4,$S1189-4,0))</f>
        <v/>
      </c>
      <c r="J1189" s="294" t="str">
        <f ca="1">IF(ISERROR($S1189),"",OFFSET('Smelter Reference List'!$I$4,$S1189-4,0))</f>
        <v/>
      </c>
      <c r="K1189" s="295"/>
      <c r="L1189" s="295"/>
      <c r="M1189" s="295"/>
      <c r="N1189" s="295"/>
      <c r="O1189" s="295"/>
      <c r="P1189" s="295"/>
      <c r="Q1189" s="296"/>
      <c r="R1189" s="227"/>
      <c r="S1189" s="228" t="e">
        <f>IF(C1189="",NA(),MATCH($B1189&amp;$C1189,'Smelter Reference List'!$J:$J,0))</f>
        <v>#N/A</v>
      </c>
      <c r="T1189" s="229"/>
      <c r="U1189" s="229">
        <f t="shared" ca="1" si="38"/>
        <v>0</v>
      </c>
      <c r="V1189" s="229"/>
      <c r="W1189" s="229"/>
      <c r="Y1189" s="223" t="str">
        <f t="shared" si="39"/>
        <v/>
      </c>
    </row>
    <row r="1190" spans="1:25" s="223" customFormat="1" ht="20.25">
      <c r="A1190" s="291"/>
      <c r="B1190" s="292" t="str">
        <f>IF(LEN(A1190)=0,"",INDEX('Smelter Reference List'!$A:$A,MATCH($A1190,'Smelter Reference List'!$E:$E,0)))</f>
        <v/>
      </c>
      <c r="C1190" s="298" t="str">
        <f>IF(LEN(A1190)=0,"",INDEX('Smelter Reference List'!$C:$C,MATCH($A1190,'Smelter Reference List'!$E:$E,0)))</f>
        <v/>
      </c>
      <c r="D1190" s="292" t="str">
        <f ca="1">IF(ISERROR($S1190),"",OFFSET('Smelter Reference List'!$C$4,$S1190-4,0)&amp;"")</f>
        <v/>
      </c>
      <c r="E1190" s="292" t="str">
        <f ca="1">IF(ISERROR($S1190),"",OFFSET('Smelter Reference List'!$D$4,$S1190-4,0)&amp;"")</f>
        <v/>
      </c>
      <c r="F1190" s="292" t="str">
        <f ca="1">IF(ISERROR($S1190),"",OFFSET('Smelter Reference List'!$E$4,$S1190-4,0))</f>
        <v/>
      </c>
      <c r="G1190" s="292" t="str">
        <f ca="1">IF(C1190=$U$4,"Enter smelter details", IF(ISERROR($S1190),"",OFFSET('Smelter Reference List'!$F$4,$S1190-4,0)))</f>
        <v/>
      </c>
      <c r="H1190" s="293" t="str">
        <f ca="1">IF(ISERROR($S1190),"",OFFSET('Smelter Reference List'!$G$4,$S1190-4,0))</f>
        <v/>
      </c>
      <c r="I1190" s="294" t="str">
        <f ca="1">IF(ISERROR($S1190),"",OFFSET('Smelter Reference List'!$H$4,$S1190-4,0))</f>
        <v/>
      </c>
      <c r="J1190" s="294" t="str">
        <f ca="1">IF(ISERROR($S1190),"",OFFSET('Smelter Reference List'!$I$4,$S1190-4,0))</f>
        <v/>
      </c>
      <c r="K1190" s="295"/>
      <c r="L1190" s="295"/>
      <c r="M1190" s="295"/>
      <c r="N1190" s="295"/>
      <c r="O1190" s="295"/>
      <c r="P1190" s="295"/>
      <c r="Q1190" s="296"/>
      <c r="R1190" s="227"/>
      <c r="S1190" s="228" t="e">
        <f>IF(C1190="",NA(),MATCH($B1190&amp;$C1190,'Smelter Reference List'!$J:$J,0))</f>
        <v>#N/A</v>
      </c>
      <c r="T1190" s="229"/>
      <c r="U1190" s="229">
        <f t="shared" ca="1" si="38"/>
        <v>0</v>
      </c>
      <c r="V1190" s="229"/>
      <c r="W1190" s="229"/>
      <c r="Y1190" s="223" t="str">
        <f t="shared" si="39"/>
        <v/>
      </c>
    </row>
    <row r="1191" spans="1:25" s="223" customFormat="1" ht="20.25">
      <c r="A1191" s="291"/>
      <c r="B1191" s="292" t="str">
        <f>IF(LEN(A1191)=0,"",INDEX('Smelter Reference List'!$A:$A,MATCH($A1191,'Smelter Reference List'!$E:$E,0)))</f>
        <v/>
      </c>
      <c r="C1191" s="298" t="str">
        <f>IF(LEN(A1191)=0,"",INDEX('Smelter Reference List'!$C:$C,MATCH($A1191,'Smelter Reference List'!$E:$E,0)))</f>
        <v/>
      </c>
      <c r="D1191" s="292" t="str">
        <f ca="1">IF(ISERROR($S1191),"",OFFSET('Smelter Reference List'!$C$4,$S1191-4,0)&amp;"")</f>
        <v/>
      </c>
      <c r="E1191" s="292" t="str">
        <f ca="1">IF(ISERROR($S1191),"",OFFSET('Smelter Reference List'!$D$4,$S1191-4,0)&amp;"")</f>
        <v/>
      </c>
      <c r="F1191" s="292" t="str">
        <f ca="1">IF(ISERROR($S1191),"",OFFSET('Smelter Reference List'!$E$4,$S1191-4,0))</f>
        <v/>
      </c>
      <c r="G1191" s="292" t="str">
        <f ca="1">IF(C1191=$U$4,"Enter smelter details", IF(ISERROR($S1191),"",OFFSET('Smelter Reference List'!$F$4,$S1191-4,0)))</f>
        <v/>
      </c>
      <c r="H1191" s="293" t="str">
        <f ca="1">IF(ISERROR($S1191),"",OFFSET('Smelter Reference List'!$G$4,$S1191-4,0))</f>
        <v/>
      </c>
      <c r="I1191" s="294" t="str">
        <f ca="1">IF(ISERROR($S1191),"",OFFSET('Smelter Reference List'!$H$4,$S1191-4,0))</f>
        <v/>
      </c>
      <c r="J1191" s="294" t="str">
        <f ca="1">IF(ISERROR($S1191),"",OFFSET('Smelter Reference List'!$I$4,$S1191-4,0))</f>
        <v/>
      </c>
      <c r="K1191" s="295"/>
      <c r="L1191" s="295"/>
      <c r="M1191" s="295"/>
      <c r="N1191" s="295"/>
      <c r="O1191" s="295"/>
      <c r="P1191" s="295"/>
      <c r="Q1191" s="296"/>
      <c r="R1191" s="227"/>
      <c r="S1191" s="228" t="e">
        <f>IF(C1191="",NA(),MATCH($B1191&amp;$C1191,'Smelter Reference List'!$J:$J,0))</f>
        <v>#N/A</v>
      </c>
      <c r="T1191" s="229"/>
      <c r="U1191" s="229">
        <f t="shared" ca="1" si="38"/>
        <v>0</v>
      </c>
      <c r="V1191" s="229"/>
      <c r="W1191" s="229"/>
      <c r="Y1191" s="223" t="str">
        <f t="shared" si="39"/>
        <v/>
      </c>
    </row>
    <row r="1192" spans="1:25" s="223" customFormat="1" ht="20.25">
      <c r="A1192" s="291"/>
      <c r="B1192" s="292" t="str">
        <f>IF(LEN(A1192)=0,"",INDEX('Smelter Reference List'!$A:$A,MATCH($A1192,'Smelter Reference List'!$E:$E,0)))</f>
        <v/>
      </c>
      <c r="C1192" s="298" t="str">
        <f>IF(LEN(A1192)=0,"",INDEX('Smelter Reference List'!$C:$C,MATCH($A1192,'Smelter Reference List'!$E:$E,0)))</f>
        <v/>
      </c>
      <c r="D1192" s="292" t="str">
        <f ca="1">IF(ISERROR($S1192),"",OFFSET('Smelter Reference List'!$C$4,$S1192-4,0)&amp;"")</f>
        <v/>
      </c>
      <c r="E1192" s="292" t="str">
        <f ca="1">IF(ISERROR($S1192),"",OFFSET('Smelter Reference List'!$D$4,$S1192-4,0)&amp;"")</f>
        <v/>
      </c>
      <c r="F1192" s="292" t="str">
        <f ca="1">IF(ISERROR($S1192),"",OFFSET('Smelter Reference List'!$E$4,$S1192-4,0))</f>
        <v/>
      </c>
      <c r="G1192" s="292" t="str">
        <f ca="1">IF(C1192=$U$4,"Enter smelter details", IF(ISERROR($S1192),"",OFFSET('Smelter Reference List'!$F$4,$S1192-4,0)))</f>
        <v/>
      </c>
      <c r="H1192" s="293" t="str">
        <f ca="1">IF(ISERROR($S1192),"",OFFSET('Smelter Reference List'!$G$4,$S1192-4,0))</f>
        <v/>
      </c>
      <c r="I1192" s="294" t="str">
        <f ca="1">IF(ISERROR($S1192),"",OFFSET('Smelter Reference List'!$H$4,$S1192-4,0))</f>
        <v/>
      </c>
      <c r="J1192" s="294" t="str">
        <f ca="1">IF(ISERROR($S1192),"",OFFSET('Smelter Reference List'!$I$4,$S1192-4,0))</f>
        <v/>
      </c>
      <c r="K1192" s="295"/>
      <c r="L1192" s="295"/>
      <c r="M1192" s="295"/>
      <c r="N1192" s="295"/>
      <c r="O1192" s="295"/>
      <c r="P1192" s="295"/>
      <c r="Q1192" s="296"/>
      <c r="R1192" s="227"/>
      <c r="S1192" s="228" t="e">
        <f>IF(C1192="",NA(),MATCH($B1192&amp;$C1192,'Smelter Reference List'!$J:$J,0))</f>
        <v>#N/A</v>
      </c>
      <c r="T1192" s="229"/>
      <c r="U1192" s="229">
        <f t="shared" ca="1" si="38"/>
        <v>0</v>
      </c>
      <c r="V1192" s="229"/>
      <c r="W1192" s="229"/>
      <c r="Y1192" s="223" t="str">
        <f t="shared" si="39"/>
        <v/>
      </c>
    </row>
    <row r="1193" spans="1:25" s="223" customFormat="1" ht="20.25">
      <c r="A1193" s="291"/>
      <c r="B1193" s="292" t="str">
        <f>IF(LEN(A1193)=0,"",INDEX('Smelter Reference List'!$A:$A,MATCH($A1193,'Smelter Reference List'!$E:$E,0)))</f>
        <v/>
      </c>
      <c r="C1193" s="298" t="str">
        <f>IF(LEN(A1193)=0,"",INDEX('Smelter Reference List'!$C:$C,MATCH($A1193,'Smelter Reference List'!$E:$E,0)))</f>
        <v/>
      </c>
      <c r="D1193" s="292" t="str">
        <f ca="1">IF(ISERROR($S1193),"",OFFSET('Smelter Reference List'!$C$4,$S1193-4,0)&amp;"")</f>
        <v/>
      </c>
      <c r="E1193" s="292" t="str">
        <f ca="1">IF(ISERROR($S1193),"",OFFSET('Smelter Reference List'!$D$4,$S1193-4,0)&amp;"")</f>
        <v/>
      </c>
      <c r="F1193" s="292" t="str">
        <f ca="1">IF(ISERROR($S1193),"",OFFSET('Smelter Reference List'!$E$4,$S1193-4,0))</f>
        <v/>
      </c>
      <c r="G1193" s="292" t="str">
        <f ca="1">IF(C1193=$U$4,"Enter smelter details", IF(ISERROR($S1193),"",OFFSET('Smelter Reference List'!$F$4,$S1193-4,0)))</f>
        <v/>
      </c>
      <c r="H1193" s="293" t="str">
        <f ca="1">IF(ISERROR($S1193),"",OFFSET('Smelter Reference List'!$G$4,$S1193-4,0))</f>
        <v/>
      </c>
      <c r="I1193" s="294" t="str">
        <f ca="1">IF(ISERROR($S1193),"",OFFSET('Smelter Reference List'!$H$4,$S1193-4,0))</f>
        <v/>
      </c>
      <c r="J1193" s="294" t="str">
        <f ca="1">IF(ISERROR($S1193),"",OFFSET('Smelter Reference List'!$I$4,$S1193-4,0))</f>
        <v/>
      </c>
      <c r="K1193" s="295"/>
      <c r="L1193" s="295"/>
      <c r="M1193" s="295"/>
      <c r="N1193" s="295"/>
      <c r="O1193" s="295"/>
      <c r="P1193" s="295"/>
      <c r="Q1193" s="296"/>
      <c r="R1193" s="227"/>
      <c r="S1193" s="228" t="e">
        <f>IF(C1193="",NA(),MATCH($B1193&amp;$C1193,'Smelter Reference List'!$J:$J,0))</f>
        <v>#N/A</v>
      </c>
      <c r="T1193" s="229"/>
      <c r="U1193" s="229">
        <f t="shared" ca="1" si="38"/>
        <v>0</v>
      </c>
      <c r="V1193" s="229"/>
      <c r="W1193" s="229"/>
      <c r="Y1193" s="223" t="str">
        <f t="shared" si="39"/>
        <v/>
      </c>
    </row>
    <row r="1194" spans="1:25" s="223" customFormat="1" ht="20.25">
      <c r="A1194" s="291"/>
      <c r="B1194" s="292" t="str">
        <f>IF(LEN(A1194)=0,"",INDEX('Smelter Reference List'!$A:$A,MATCH($A1194,'Smelter Reference List'!$E:$E,0)))</f>
        <v/>
      </c>
      <c r="C1194" s="298" t="str">
        <f>IF(LEN(A1194)=0,"",INDEX('Smelter Reference List'!$C:$C,MATCH($A1194,'Smelter Reference List'!$E:$E,0)))</f>
        <v/>
      </c>
      <c r="D1194" s="292" t="str">
        <f ca="1">IF(ISERROR($S1194),"",OFFSET('Smelter Reference List'!$C$4,$S1194-4,0)&amp;"")</f>
        <v/>
      </c>
      <c r="E1194" s="292" t="str">
        <f ca="1">IF(ISERROR($S1194),"",OFFSET('Smelter Reference List'!$D$4,$S1194-4,0)&amp;"")</f>
        <v/>
      </c>
      <c r="F1194" s="292" t="str">
        <f ca="1">IF(ISERROR($S1194),"",OFFSET('Smelter Reference List'!$E$4,$S1194-4,0))</f>
        <v/>
      </c>
      <c r="G1194" s="292" t="str">
        <f ca="1">IF(C1194=$U$4,"Enter smelter details", IF(ISERROR($S1194),"",OFFSET('Smelter Reference List'!$F$4,$S1194-4,0)))</f>
        <v/>
      </c>
      <c r="H1194" s="293" t="str">
        <f ca="1">IF(ISERROR($S1194),"",OFFSET('Smelter Reference List'!$G$4,$S1194-4,0))</f>
        <v/>
      </c>
      <c r="I1194" s="294" t="str">
        <f ca="1">IF(ISERROR($S1194),"",OFFSET('Smelter Reference List'!$H$4,$S1194-4,0))</f>
        <v/>
      </c>
      <c r="J1194" s="294" t="str">
        <f ca="1">IF(ISERROR($S1194),"",OFFSET('Smelter Reference List'!$I$4,$S1194-4,0))</f>
        <v/>
      </c>
      <c r="K1194" s="295"/>
      <c r="L1194" s="295"/>
      <c r="M1194" s="295"/>
      <c r="N1194" s="295"/>
      <c r="O1194" s="295"/>
      <c r="P1194" s="295"/>
      <c r="Q1194" s="296"/>
      <c r="R1194" s="227"/>
      <c r="S1194" s="228" t="e">
        <f>IF(C1194="",NA(),MATCH($B1194&amp;$C1194,'Smelter Reference List'!$J:$J,0))</f>
        <v>#N/A</v>
      </c>
      <c r="T1194" s="229"/>
      <c r="U1194" s="229">
        <f t="shared" ca="1" si="38"/>
        <v>0</v>
      </c>
      <c r="V1194" s="229"/>
      <c r="W1194" s="229"/>
      <c r="Y1194" s="223" t="str">
        <f t="shared" si="39"/>
        <v/>
      </c>
    </row>
    <row r="1195" spans="1:25" s="223" customFormat="1" ht="20.25">
      <c r="A1195" s="291"/>
      <c r="B1195" s="292" t="str">
        <f>IF(LEN(A1195)=0,"",INDEX('Smelter Reference List'!$A:$A,MATCH($A1195,'Smelter Reference List'!$E:$E,0)))</f>
        <v/>
      </c>
      <c r="C1195" s="298" t="str">
        <f>IF(LEN(A1195)=0,"",INDEX('Smelter Reference List'!$C:$C,MATCH($A1195,'Smelter Reference List'!$E:$E,0)))</f>
        <v/>
      </c>
      <c r="D1195" s="292" t="str">
        <f ca="1">IF(ISERROR($S1195),"",OFFSET('Smelter Reference List'!$C$4,$S1195-4,0)&amp;"")</f>
        <v/>
      </c>
      <c r="E1195" s="292" t="str">
        <f ca="1">IF(ISERROR($S1195),"",OFFSET('Smelter Reference List'!$D$4,$S1195-4,0)&amp;"")</f>
        <v/>
      </c>
      <c r="F1195" s="292" t="str">
        <f ca="1">IF(ISERROR($S1195),"",OFFSET('Smelter Reference List'!$E$4,$S1195-4,0))</f>
        <v/>
      </c>
      <c r="G1195" s="292" t="str">
        <f ca="1">IF(C1195=$U$4,"Enter smelter details", IF(ISERROR($S1195),"",OFFSET('Smelter Reference List'!$F$4,$S1195-4,0)))</f>
        <v/>
      </c>
      <c r="H1195" s="293" t="str">
        <f ca="1">IF(ISERROR($S1195),"",OFFSET('Smelter Reference List'!$G$4,$S1195-4,0))</f>
        <v/>
      </c>
      <c r="I1195" s="294" t="str">
        <f ca="1">IF(ISERROR($S1195),"",OFFSET('Smelter Reference List'!$H$4,$S1195-4,0))</f>
        <v/>
      </c>
      <c r="J1195" s="294" t="str">
        <f ca="1">IF(ISERROR($S1195),"",OFFSET('Smelter Reference List'!$I$4,$S1195-4,0))</f>
        <v/>
      </c>
      <c r="K1195" s="295"/>
      <c r="L1195" s="295"/>
      <c r="M1195" s="295"/>
      <c r="N1195" s="295"/>
      <c r="O1195" s="295"/>
      <c r="P1195" s="295"/>
      <c r="Q1195" s="296"/>
      <c r="R1195" s="227"/>
      <c r="S1195" s="228" t="e">
        <f>IF(C1195="",NA(),MATCH($B1195&amp;$C1195,'Smelter Reference List'!$J:$J,0))</f>
        <v>#N/A</v>
      </c>
      <c r="T1195" s="229"/>
      <c r="U1195" s="229">
        <f t="shared" ca="1" si="38"/>
        <v>0</v>
      </c>
      <c r="V1195" s="229"/>
      <c r="W1195" s="229"/>
      <c r="Y1195" s="223" t="str">
        <f t="shared" si="39"/>
        <v/>
      </c>
    </row>
    <row r="1196" spans="1:25" s="223" customFormat="1" ht="20.25">
      <c r="A1196" s="291"/>
      <c r="B1196" s="292" t="str">
        <f>IF(LEN(A1196)=0,"",INDEX('Smelter Reference List'!$A:$A,MATCH($A1196,'Smelter Reference List'!$E:$E,0)))</f>
        <v/>
      </c>
      <c r="C1196" s="298" t="str">
        <f>IF(LEN(A1196)=0,"",INDEX('Smelter Reference List'!$C:$C,MATCH($A1196,'Smelter Reference List'!$E:$E,0)))</f>
        <v/>
      </c>
      <c r="D1196" s="292" t="str">
        <f ca="1">IF(ISERROR($S1196),"",OFFSET('Smelter Reference List'!$C$4,$S1196-4,0)&amp;"")</f>
        <v/>
      </c>
      <c r="E1196" s="292" t="str">
        <f ca="1">IF(ISERROR($S1196),"",OFFSET('Smelter Reference List'!$D$4,$S1196-4,0)&amp;"")</f>
        <v/>
      </c>
      <c r="F1196" s="292" t="str">
        <f ca="1">IF(ISERROR($S1196),"",OFFSET('Smelter Reference List'!$E$4,$S1196-4,0))</f>
        <v/>
      </c>
      <c r="G1196" s="292" t="str">
        <f ca="1">IF(C1196=$U$4,"Enter smelter details", IF(ISERROR($S1196),"",OFFSET('Smelter Reference List'!$F$4,$S1196-4,0)))</f>
        <v/>
      </c>
      <c r="H1196" s="293" t="str">
        <f ca="1">IF(ISERROR($S1196),"",OFFSET('Smelter Reference List'!$G$4,$S1196-4,0))</f>
        <v/>
      </c>
      <c r="I1196" s="294" t="str">
        <f ca="1">IF(ISERROR($S1196),"",OFFSET('Smelter Reference List'!$H$4,$S1196-4,0))</f>
        <v/>
      </c>
      <c r="J1196" s="294" t="str">
        <f ca="1">IF(ISERROR($S1196),"",OFFSET('Smelter Reference List'!$I$4,$S1196-4,0))</f>
        <v/>
      </c>
      <c r="K1196" s="295"/>
      <c r="L1196" s="295"/>
      <c r="M1196" s="295"/>
      <c r="N1196" s="295"/>
      <c r="O1196" s="295"/>
      <c r="P1196" s="295"/>
      <c r="Q1196" s="296"/>
      <c r="R1196" s="227"/>
      <c r="S1196" s="228" t="e">
        <f>IF(C1196="",NA(),MATCH($B1196&amp;$C1196,'Smelter Reference List'!$J:$J,0))</f>
        <v>#N/A</v>
      </c>
      <c r="T1196" s="229"/>
      <c r="U1196" s="229">
        <f t="shared" ca="1" si="38"/>
        <v>0</v>
      </c>
      <c r="V1196" s="229"/>
      <c r="W1196" s="229"/>
      <c r="Y1196" s="223" t="str">
        <f t="shared" si="39"/>
        <v/>
      </c>
    </row>
    <row r="1197" spans="1:25" s="223" customFormat="1" ht="20.25">
      <c r="A1197" s="291"/>
      <c r="B1197" s="292" t="str">
        <f>IF(LEN(A1197)=0,"",INDEX('Smelter Reference List'!$A:$A,MATCH($A1197,'Smelter Reference List'!$E:$E,0)))</f>
        <v/>
      </c>
      <c r="C1197" s="298" t="str">
        <f>IF(LEN(A1197)=0,"",INDEX('Smelter Reference List'!$C:$C,MATCH($A1197,'Smelter Reference List'!$E:$E,0)))</f>
        <v/>
      </c>
      <c r="D1197" s="292" t="str">
        <f ca="1">IF(ISERROR($S1197),"",OFFSET('Smelter Reference List'!$C$4,$S1197-4,0)&amp;"")</f>
        <v/>
      </c>
      <c r="E1197" s="292" t="str">
        <f ca="1">IF(ISERROR($S1197),"",OFFSET('Smelter Reference List'!$D$4,$S1197-4,0)&amp;"")</f>
        <v/>
      </c>
      <c r="F1197" s="292" t="str">
        <f ca="1">IF(ISERROR($S1197),"",OFFSET('Smelter Reference List'!$E$4,$S1197-4,0))</f>
        <v/>
      </c>
      <c r="G1197" s="292" t="str">
        <f ca="1">IF(C1197=$U$4,"Enter smelter details", IF(ISERROR($S1197),"",OFFSET('Smelter Reference List'!$F$4,$S1197-4,0)))</f>
        <v/>
      </c>
      <c r="H1197" s="293" t="str">
        <f ca="1">IF(ISERROR($S1197),"",OFFSET('Smelter Reference List'!$G$4,$S1197-4,0))</f>
        <v/>
      </c>
      <c r="I1197" s="294" t="str">
        <f ca="1">IF(ISERROR($S1197),"",OFFSET('Smelter Reference List'!$H$4,$S1197-4,0))</f>
        <v/>
      </c>
      <c r="J1197" s="294" t="str">
        <f ca="1">IF(ISERROR($S1197),"",OFFSET('Smelter Reference List'!$I$4,$S1197-4,0))</f>
        <v/>
      </c>
      <c r="K1197" s="295"/>
      <c r="L1197" s="295"/>
      <c r="M1197" s="295"/>
      <c r="N1197" s="295"/>
      <c r="O1197" s="295"/>
      <c r="P1197" s="295"/>
      <c r="Q1197" s="296"/>
      <c r="R1197" s="227"/>
      <c r="S1197" s="228" t="e">
        <f>IF(C1197="",NA(),MATCH($B1197&amp;$C1197,'Smelter Reference List'!$J:$J,0))</f>
        <v>#N/A</v>
      </c>
      <c r="T1197" s="229"/>
      <c r="U1197" s="229">
        <f t="shared" ca="1" si="38"/>
        <v>0</v>
      </c>
      <c r="V1197" s="229"/>
      <c r="W1197" s="229"/>
      <c r="Y1197" s="223" t="str">
        <f t="shared" si="39"/>
        <v/>
      </c>
    </row>
    <row r="1198" spans="1:25" s="223" customFormat="1" ht="20.25">
      <c r="A1198" s="291"/>
      <c r="B1198" s="292" t="str">
        <f>IF(LEN(A1198)=0,"",INDEX('Smelter Reference List'!$A:$A,MATCH($A1198,'Smelter Reference List'!$E:$E,0)))</f>
        <v/>
      </c>
      <c r="C1198" s="298" t="str">
        <f>IF(LEN(A1198)=0,"",INDEX('Smelter Reference List'!$C:$C,MATCH($A1198,'Smelter Reference List'!$E:$E,0)))</f>
        <v/>
      </c>
      <c r="D1198" s="292" t="str">
        <f ca="1">IF(ISERROR($S1198),"",OFFSET('Smelter Reference List'!$C$4,$S1198-4,0)&amp;"")</f>
        <v/>
      </c>
      <c r="E1198" s="292" t="str">
        <f ca="1">IF(ISERROR($S1198),"",OFFSET('Smelter Reference List'!$D$4,$S1198-4,0)&amp;"")</f>
        <v/>
      </c>
      <c r="F1198" s="292" t="str">
        <f ca="1">IF(ISERROR($S1198),"",OFFSET('Smelter Reference List'!$E$4,$S1198-4,0))</f>
        <v/>
      </c>
      <c r="G1198" s="292" t="str">
        <f ca="1">IF(C1198=$U$4,"Enter smelter details", IF(ISERROR($S1198),"",OFFSET('Smelter Reference List'!$F$4,$S1198-4,0)))</f>
        <v/>
      </c>
      <c r="H1198" s="293" t="str">
        <f ca="1">IF(ISERROR($S1198),"",OFFSET('Smelter Reference List'!$G$4,$S1198-4,0))</f>
        <v/>
      </c>
      <c r="I1198" s="294" t="str">
        <f ca="1">IF(ISERROR($S1198),"",OFFSET('Smelter Reference List'!$H$4,$S1198-4,0))</f>
        <v/>
      </c>
      <c r="J1198" s="294" t="str">
        <f ca="1">IF(ISERROR($S1198),"",OFFSET('Smelter Reference List'!$I$4,$S1198-4,0))</f>
        <v/>
      </c>
      <c r="K1198" s="295"/>
      <c r="L1198" s="295"/>
      <c r="M1198" s="295"/>
      <c r="N1198" s="295"/>
      <c r="O1198" s="295"/>
      <c r="P1198" s="295"/>
      <c r="Q1198" s="296"/>
      <c r="R1198" s="227"/>
      <c r="S1198" s="228" t="e">
        <f>IF(C1198="",NA(),MATCH($B1198&amp;$C1198,'Smelter Reference List'!$J:$J,0))</f>
        <v>#N/A</v>
      </c>
      <c r="T1198" s="229"/>
      <c r="U1198" s="229">
        <f t="shared" ca="1" si="38"/>
        <v>0</v>
      </c>
      <c r="V1198" s="229"/>
      <c r="W1198" s="229"/>
      <c r="Y1198" s="223" t="str">
        <f t="shared" si="39"/>
        <v/>
      </c>
    </row>
    <row r="1199" spans="1:25" s="223" customFormat="1" ht="20.25">
      <c r="A1199" s="291"/>
      <c r="B1199" s="292" t="str">
        <f>IF(LEN(A1199)=0,"",INDEX('Smelter Reference List'!$A:$A,MATCH($A1199,'Smelter Reference List'!$E:$E,0)))</f>
        <v/>
      </c>
      <c r="C1199" s="298" t="str">
        <f>IF(LEN(A1199)=0,"",INDEX('Smelter Reference List'!$C:$C,MATCH($A1199,'Smelter Reference List'!$E:$E,0)))</f>
        <v/>
      </c>
      <c r="D1199" s="292" t="str">
        <f ca="1">IF(ISERROR($S1199),"",OFFSET('Smelter Reference List'!$C$4,$S1199-4,0)&amp;"")</f>
        <v/>
      </c>
      <c r="E1199" s="292" t="str">
        <f ca="1">IF(ISERROR($S1199),"",OFFSET('Smelter Reference List'!$D$4,$S1199-4,0)&amp;"")</f>
        <v/>
      </c>
      <c r="F1199" s="292" t="str">
        <f ca="1">IF(ISERROR($S1199),"",OFFSET('Smelter Reference List'!$E$4,$S1199-4,0))</f>
        <v/>
      </c>
      <c r="G1199" s="292" t="str">
        <f ca="1">IF(C1199=$U$4,"Enter smelter details", IF(ISERROR($S1199),"",OFFSET('Smelter Reference List'!$F$4,$S1199-4,0)))</f>
        <v/>
      </c>
      <c r="H1199" s="293" t="str">
        <f ca="1">IF(ISERROR($S1199),"",OFFSET('Smelter Reference List'!$G$4,$S1199-4,0))</f>
        <v/>
      </c>
      <c r="I1199" s="294" t="str">
        <f ca="1">IF(ISERROR($S1199),"",OFFSET('Smelter Reference List'!$H$4,$S1199-4,0))</f>
        <v/>
      </c>
      <c r="J1199" s="294" t="str">
        <f ca="1">IF(ISERROR($S1199),"",OFFSET('Smelter Reference List'!$I$4,$S1199-4,0))</f>
        <v/>
      </c>
      <c r="K1199" s="295"/>
      <c r="L1199" s="295"/>
      <c r="M1199" s="295"/>
      <c r="N1199" s="295"/>
      <c r="O1199" s="295"/>
      <c r="P1199" s="295"/>
      <c r="Q1199" s="296"/>
      <c r="R1199" s="227"/>
      <c r="S1199" s="228" t="e">
        <f>IF(C1199="",NA(),MATCH($B1199&amp;$C1199,'Smelter Reference List'!$J:$J,0))</f>
        <v>#N/A</v>
      </c>
      <c r="T1199" s="229"/>
      <c r="U1199" s="229">
        <f t="shared" ca="1" si="38"/>
        <v>0</v>
      </c>
      <c r="V1199" s="229"/>
      <c r="W1199" s="229"/>
      <c r="Y1199" s="223" t="str">
        <f t="shared" si="39"/>
        <v/>
      </c>
    </row>
    <row r="1200" spans="1:25" s="223" customFormat="1" ht="20.25">
      <c r="A1200" s="291"/>
      <c r="B1200" s="292" t="str">
        <f>IF(LEN(A1200)=0,"",INDEX('Smelter Reference List'!$A:$A,MATCH($A1200,'Smelter Reference List'!$E:$E,0)))</f>
        <v/>
      </c>
      <c r="C1200" s="298" t="str">
        <f>IF(LEN(A1200)=0,"",INDEX('Smelter Reference List'!$C:$C,MATCH($A1200,'Smelter Reference List'!$E:$E,0)))</f>
        <v/>
      </c>
      <c r="D1200" s="292" t="str">
        <f ca="1">IF(ISERROR($S1200),"",OFFSET('Smelter Reference List'!$C$4,$S1200-4,0)&amp;"")</f>
        <v/>
      </c>
      <c r="E1200" s="292" t="str">
        <f ca="1">IF(ISERROR($S1200),"",OFFSET('Smelter Reference List'!$D$4,$S1200-4,0)&amp;"")</f>
        <v/>
      </c>
      <c r="F1200" s="292" t="str">
        <f ca="1">IF(ISERROR($S1200),"",OFFSET('Smelter Reference List'!$E$4,$S1200-4,0))</f>
        <v/>
      </c>
      <c r="G1200" s="292" t="str">
        <f ca="1">IF(C1200=$U$4,"Enter smelter details", IF(ISERROR($S1200),"",OFFSET('Smelter Reference List'!$F$4,$S1200-4,0)))</f>
        <v/>
      </c>
      <c r="H1200" s="293" t="str">
        <f ca="1">IF(ISERROR($S1200),"",OFFSET('Smelter Reference List'!$G$4,$S1200-4,0))</f>
        <v/>
      </c>
      <c r="I1200" s="294" t="str">
        <f ca="1">IF(ISERROR($S1200),"",OFFSET('Smelter Reference List'!$H$4,$S1200-4,0))</f>
        <v/>
      </c>
      <c r="J1200" s="294" t="str">
        <f ca="1">IF(ISERROR($S1200),"",OFFSET('Smelter Reference List'!$I$4,$S1200-4,0))</f>
        <v/>
      </c>
      <c r="K1200" s="295"/>
      <c r="L1200" s="295"/>
      <c r="M1200" s="295"/>
      <c r="N1200" s="295"/>
      <c r="O1200" s="295"/>
      <c r="P1200" s="295"/>
      <c r="Q1200" s="296"/>
      <c r="R1200" s="227"/>
      <c r="S1200" s="228" t="e">
        <f>IF(C1200="",NA(),MATCH($B1200&amp;$C1200,'Smelter Reference List'!$J:$J,0))</f>
        <v>#N/A</v>
      </c>
      <c r="T1200" s="229"/>
      <c r="U1200" s="229">
        <f t="shared" ca="1" si="38"/>
        <v>0</v>
      </c>
      <c r="V1200" s="229"/>
      <c r="W1200" s="229"/>
      <c r="Y1200" s="223" t="str">
        <f t="shared" si="39"/>
        <v/>
      </c>
    </row>
    <row r="1201" spans="1:25" s="223" customFormat="1" ht="20.25">
      <c r="A1201" s="291"/>
      <c r="B1201" s="292" t="str">
        <f>IF(LEN(A1201)=0,"",INDEX('Smelter Reference List'!$A:$A,MATCH($A1201,'Smelter Reference List'!$E:$E,0)))</f>
        <v/>
      </c>
      <c r="C1201" s="298" t="str">
        <f>IF(LEN(A1201)=0,"",INDEX('Smelter Reference List'!$C:$C,MATCH($A1201,'Smelter Reference List'!$E:$E,0)))</f>
        <v/>
      </c>
      <c r="D1201" s="292" t="str">
        <f ca="1">IF(ISERROR($S1201),"",OFFSET('Smelter Reference List'!$C$4,$S1201-4,0)&amp;"")</f>
        <v/>
      </c>
      <c r="E1201" s="292" t="str">
        <f ca="1">IF(ISERROR($S1201),"",OFFSET('Smelter Reference List'!$D$4,$S1201-4,0)&amp;"")</f>
        <v/>
      </c>
      <c r="F1201" s="292" t="str">
        <f ca="1">IF(ISERROR($S1201),"",OFFSET('Smelter Reference List'!$E$4,$S1201-4,0))</f>
        <v/>
      </c>
      <c r="G1201" s="292" t="str">
        <f ca="1">IF(C1201=$U$4,"Enter smelter details", IF(ISERROR($S1201),"",OFFSET('Smelter Reference List'!$F$4,$S1201-4,0)))</f>
        <v/>
      </c>
      <c r="H1201" s="293" t="str">
        <f ca="1">IF(ISERROR($S1201),"",OFFSET('Smelter Reference List'!$G$4,$S1201-4,0))</f>
        <v/>
      </c>
      <c r="I1201" s="294" t="str">
        <f ca="1">IF(ISERROR($S1201),"",OFFSET('Smelter Reference List'!$H$4,$S1201-4,0))</f>
        <v/>
      </c>
      <c r="J1201" s="294" t="str">
        <f ca="1">IF(ISERROR($S1201),"",OFFSET('Smelter Reference List'!$I$4,$S1201-4,0))</f>
        <v/>
      </c>
      <c r="K1201" s="295"/>
      <c r="L1201" s="295"/>
      <c r="M1201" s="295"/>
      <c r="N1201" s="295"/>
      <c r="O1201" s="295"/>
      <c r="P1201" s="295"/>
      <c r="Q1201" s="296"/>
      <c r="R1201" s="227"/>
      <c r="S1201" s="228" t="e">
        <f>IF(C1201="",NA(),MATCH($B1201&amp;$C1201,'Smelter Reference List'!$J:$J,0))</f>
        <v>#N/A</v>
      </c>
      <c r="T1201" s="229"/>
      <c r="U1201" s="229">
        <f t="shared" ca="1" si="38"/>
        <v>0</v>
      </c>
      <c r="V1201" s="229"/>
      <c r="W1201" s="229"/>
      <c r="Y1201" s="223" t="str">
        <f t="shared" si="39"/>
        <v/>
      </c>
    </row>
    <row r="1202" spans="1:25" s="223" customFormat="1" ht="20.25">
      <c r="A1202" s="291"/>
      <c r="B1202" s="292" t="str">
        <f>IF(LEN(A1202)=0,"",INDEX('Smelter Reference List'!$A:$A,MATCH($A1202,'Smelter Reference List'!$E:$E,0)))</f>
        <v/>
      </c>
      <c r="C1202" s="298" t="str">
        <f>IF(LEN(A1202)=0,"",INDEX('Smelter Reference List'!$C:$C,MATCH($A1202,'Smelter Reference List'!$E:$E,0)))</f>
        <v/>
      </c>
      <c r="D1202" s="292" t="str">
        <f ca="1">IF(ISERROR($S1202),"",OFFSET('Smelter Reference List'!$C$4,$S1202-4,0)&amp;"")</f>
        <v/>
      </c>
      <c r="E1202" s="292" t="str">
        <f ca="1">IF(ISERROR($S1202),"",OFFSET('Smelter Reference List'!$D$4,$S1202-4,0)&amp;"")</f>
        <v/>
      </c>
      <c r="F1202" s="292" t="str">
        <f ca="1">IF(ISERROR($S1202),"",OFFSET('Smelter Reference List'!$E$4,$S1202-4,0))</f>
        <v/>
      </c>
      <c r="G1202" s="292" t="str">
        <f ca="1">IF(C1202=$U$4,"Enter smelter details", IF(ISERROR($S1202),"",OFFSET('Smelter Reference List'!$F$4,$S1202-4,0)))</f>
        <v/>
      </c>
      <c r="H1202" s="293" t="str">
        <f ca="1">IF(ISERROR($S1202),"",OFFSET('Smelter Reference List'!$G$4,$S1202-4,0))</f>
        <v/>
      </c>
      <c r="I1202" s="294" t="str">
        <f ca="1">IF(ISERROR($S1202),"",OFFSET('Smelter Reference List'!$H$4,$S1202-4,0))</f>
        <v/>
      </c>
      <c r="J1202" s="294" t="str">
        <f ca="1">IF(ISERROR($S1202),"",OFFSET('Smelter Reference List'!$I$4,$S1202-4,0))</f>
        <v/>
      </c>
      <c r="K1202" s="295"/>
      <c r="L1202" s="295"/>
      <c r="M1202" s="295"/>
      <c r="N1202" s="295"/>
      <c r="O1202" s="295"/>
      <c r="P1202" s="295"/>
      <c r="Q1202" s="296"/>
      <c r="R1202" s="227"/>
      <c r="S1202" s="228" t="e">
        <f>IF(C1202="",NA(),MATCH($B1202&amp;$C1202,'Smelter Reference List'!$J:$J,0))</f>
        <v>#N/A</v>
      </c>
      <c r="T1202" s="229"/>
      <c r="U1202" s="229">
        <f t="shared" ca="1" si="38"/>
        <v>0</v>
      </c>
      <c r="V1202" s="229"/>
      <c r="W1202" s="229"/>
      <c r="Y1202" s="223" t="str">
        <f t="shared" si="39"/>
        <v/>
      </c>
    </row>
    <row r="1203" spans="1:25" s="223" customFormat="1" ht="20.25">
      <c r="A1203" s="291"/>
      <c r="B1203" s="292" t="str">
        <f>IF(LEN(A1203)=0,"",INDEX('Smelter Reference List'!$A:$A,MATCH($A1203,'Smelter Reference List'!$E:$E,0)))</f>
        <v/>
      </c>
      <c r="C1203" s="298" t="str">
        <f>IF(LEN(A1203)=0,"",INDEX('Smelter Reference List'!$C:$C,MATCH($A1203,'Smelter Reference List'!$E:$E,0)))</f>
        <v/>
      </c>
      <c r="D1203" s="292" t="str">
        <f ca="1">IF(ISERROR($S1203),"",OFFSET('Smelter Reference List'!$C$4,$S1203-4,0)&amp;"")</f>
        <v/>
      </c>
      <c r="E1203" s="292" t="str">
        <f ca="1">IF(ISERROR($S1203),"",OFFSET('Smelter Reference List'!$D$4,$S1203-4,0)&amp;"")</f>
        <v/>
      </c>
      <c r="F1203" s="292" t="str">
        <f ca="1">IF(ISERROR($S1203),"",OFFSET('Smelter Reference List'!$E$4,$S1203-4,0))</f>
        <v/>
      </c>
      <c r="G1203" s="292" t="str">
        <f ca="1">IF(C1203=$U$4,"Enter smelter details", IF(ISERROR($S1203),"",OFFSET('Smelter Reference List'!$F$4,$S1203-4,0)))</f>
        <v/>
      </c>
      <c r="H1203" s="293" t="str">
        <f ca="1">IF(ISERROR($S1203),"",OFFSET('Smelter Reference List'!$G$4,$S1203-4,0))</f>
        <v/>
      </c>
      <c r="I1203" s="294" t="str">
        <f ca="1">IF(ISERROR($S1203),"",OFFSET('Smelter Reference List'!$H$4,$S1203-4,0))</f>
        <v/>
      </c>
      <c r="J1203" s="294" t="str">
        <f ca="1">IF(ISERROR($S1203),"",OFFSET('Smelter Reference List'!$I$4,$S1203-4,0))</f>
        <v/>
      </c>
      <c r="K1203" s="295"/>
      <c r="L1203" s="295"/>
      <c r="M1203" s="295"/>
      <c r="N1203" s="295"/>
      <c r="O1203" s="295"/>
      <c r="P1203" s="295"/>
      <c r="Q1203" s="296"/>
      <c r="R1203" s="227"/>
      <c r="S1203" s="228" t="e">
        <f>IF(C1203="",NA(),MATCH($B1203&amp;$C1203,'Smelter Reference List'!$J:$J,0))</f>
        <v>#N/A</v>
      </c>
      <c r="T1203" s="229"/>
      <c r="U1203" s="229">
        <f t="shared" ca="1" si="38"/>
        <v>0</v>
      </c>
      <c r="V1203" s="229"/>
      <c r="W1203" s="229"/>
      <c r="Y1203" s="223" t="str">
        <f t="shared" si="39"/>
        <v/>
      </c>
    </row>
    <row r="1204" spans="1:25" s="223" customFormat="1" ht="20.25">
      <c r="A1204" s="291"/>
      <c r="B1204" s="292" t="str">
        <f>IF(LEN(A1204)=0,"",INDEX('Smelter Reference List'!$A:$A,MATCH($A1204,'Smelter Reference List'!$E:$E,0)))</f>
        <v/>
      </c>
      <c r="C1204" s="298" t="str">
        <f>IF(LEN(A1204)=0,"",INDEX('Smelter Reference List'!$C:$C,MATCH($A1204,'Smelter Reference List'!$E:$E,0)))</f>
        <v/>
      </c>
      <c r="D1204" s="292" t="str">
        <f ca="1">IF(ISERROR($S1204),"",OFFSET('Smelter Reference List'!$C$4,$S1204-4,0)&amp;"")</f>
        <v/>
      </c>
      <c r="E1204" s="292" t="str">
        <f ca="1">IF(ISERROR($S1204),"",OFFSET('Smelter Reference List'!$D$4,$S1204-4,0)&amp;"")</f>
        <v/>
      </c>
      <c r="F1204" s="292" t="str">
        <f ca="1">IF(ISERROR($S1204),"",OFFSET('Smelter Reference List'!$E$4,$S1204-4,0))</f>
        <v/>
      </c>
      <c r="G1204" s="292" t="str">
        <f ca="1">IF(C1204=$U$4,"Enter smelter details", IF(ISERROR($S1204),"",OFFSET('Smelter Reference List'!$F$4,$S1204-4,0)))</f>
        <v/>
      </c>
      <c r="H1204" s="293" t="str">
        <f ca="1">IF(ISERROR($S1204),"",OFFSET('Smelter Reference List'!$G$4,$S1204-4,0))</f>
        <v/>
      </c>
      <c r="I1204" s="294" t="str">
        <f ca="1">IF(ISERROR($S1204),"",OFFSET('Smelter Reference List'!$H$4,$S1204-4,0))</f>
        <v/>
      </c>
      <c r="J1204" s="294" t="str">
        <f ca="1">IF(ISERROR($S1204),"",OFFSET('Smelter Reference List'!$I$4,$S1204-4,0))</f>
        <v/>
      </c>
      <c r="K1204" s="295"/>
      <c r="L1204" s="295"/>
      <c r="M1204" s="295"/>
      <c r="N1204" s="295"/>
      <c r="O1204" s="295"/>
      <c r="P1204" s="295"/>
      <c r="Q1204" s="296"/>
      <c r="R1204" s="227"/>
      <c r="S1204" s="228" t="e">
        <f>IF(C1204="",NA(),MATCH($B1204&amp;$C1204,'Smelter Reference List'!$J:$J,0))</f>
        <v>#N/A</v>
      </c>
      <c r="T1204" s="229"/>
      <c r="U1204" s="229">
        <f t="shared" ca="1" si="38"/>
        <v>0</v>
      </c>
      <c r="V1204" s="229"/>
      <c r="W1204" s="229"/>
      <c r="Y1204" s="223" t="str">
        <f t="shared" si="39"/>
        <v/>
      </c>
    </row>
    <row r="1205" spans="1:25" s="223" customFormat="1" ht="20.25">
      <c r="A1205" s="291"/>
      <c r="B1205" s="292" t="str">
        <f>IF(LEN(A1205)=0,"",INDEX('Smelter Reference List'!$A:$A,MATCH($A1205,'Smelter Reference List'!$E:$E,0)))</f>
        <v/>
      </c>
      <c r="C1205" s="298" t="str">
        <f>IF(LEN(A1205)=0,"",INDEX('Smelter Reference List'!$C:$C,MATCH($A1205,'Smelter Reference List'!$E:$E,0)))</f>
        <v/>
      </c>
      <c r="D1205" s="292" t="str">
        <f ca="1">IF(ISERROR($S1205),"",OFFSET('Smelter Reference List'!$C$4,$S1205-4,0)&amp;"")</f>
        <v/>
      </c>
      <c r="E1205" s="292" t="str">
        <f ca="1">IF(ISERROR($S1205),"",OFFSET('Smelter Reference List'!$D$4,$S1205-4,0)&amp;"")</f>
        <v/>
      </c>
      <c r="F1205" s="292" t="str">
        <f ca="1">IF(ISERROR($S1205),"",OFFSET('Smelter Reference List'!$E$4,$S1205-4,0))</f>
        <v/>
      </c>
      <c r="G1205" s="292" t="str">
        <f ca="1">IF(C1205=$U$4,"Enter smelter details", IF(ISERROR($S1205),"",OFFSET('Smelter Reference List'!$F$4,$S1205-4,0)))</f>
        <v/>
      </c>
      <c r="H1205" s="293" t="str">
        <f ca="1">IF(ISERROR($S1205),"",OFFSET('Smelter Reference List'!$G$4,$S1205-4,0))</f>
        <v/>
      </c>
      <c r="I1205" s="294" t="str">
        <f ca="1">IF(ISERROR($S1205),"",OFFSET('Smelter Reference List'!$H$4,$S1205-4,0))</f>
        <v/>
      </c>
      <c r="J1205" s="294" t="str">
        <f ca="1">IF(ISERROR($S1205),"",OFFSET('Smelter Reference List'!$I$4,$S1205-4,0))</f>
        <v/>
      </c>
      <c r="K1205" s="295"/>
      <c r="L1205" s="295"/>
      <c r="M1205" s="295"/>
      <c r="N1205" s="295"/>
      <c r="O1205" s="295"/>
      <c r="P1205" s="295"/>
      <c r="Q1205" s="296"/>
      <c r="R1205" s="227"/>
      <c r="S1205" s="228" t="e">
        <f>IF(C1205="",NA(),MATCH($B1205&amp;$C1205,'Smelter Reference List'!$J:$J,0))</f>
        <v>#N/A</v>
      </c>
      <c r="T1205" s="229"/>
      <c r="U1205" s="229">
        <f t="shared" ca="1" si="38"/>
        <v>0</v>
      </c>
      <c r="V1205" s="229"/>
      <c r="W1205" s="229"/>
      <c r="Y1205" s="223" t="str">
        <f t="shared" si="39"/>
        <v/>
      </c>
    </row>
    <row r="1206" spans="1:25" s="223" customFormat="1" ht="20.25">
      <c r="A1206" s="291"/>
      <c r="B1206" s="292" t="str">
        <f>IF(LEN(A1206)=0,"",INDEX('Smelter Reference List'!$A:$A,MATCH($A1206,'Smelter Reference List'!$E:$E,0)))</f>
        <v/>
      </c>
      <c r="C1206" s="298" t="str">
        <f>IF(LEN(A1206)=0,"",INDEX('Smelter Reference List'!$C:$C,MATCH($A1206,'Smelter Reference List'!$E:$E,0)))</f>
        <v/>
      </c>
      <c r="D1206" s="292" t="str">
        <f ca="1">IF(ISERROR($S1206),"",OFFSET('Smelter Reference List'!$C$4,$S1206-4,0)&amp;"")</f>
        <v/>
      </c>
      <c r="E1206" s="292" t="str">
        <f ca="1">IF(ISERROR($S1206),"",OFFSET('Smelter Reference List'!$D$4,$S1206-4,0)&amp;"")</f>
        <v/>
      </c>
      <c r="F1206" s="292" t="str">
        <f ca="1">IF(ISERROR($S1206),"",OFFSET('Smelter Reference List'!$E$4,$S1206-4,0))</f>
        <v/>
      </c>
      <c r="G1206" s="292" t="str">
        <f ca="1">IF(C1206=$U$4,"Enter smelter details", IF(ISERROR($S1206),"",OFFSET('Smelter Reference List'!$F$4,$S1206-4,0)))</f>
        <v/>
      </c>
      <c r="H1206" s="293" t="str">
        <f ca="1">IF(ISERROR($S1206),"",OFFSET('Smelter Reference List'!$G$4,$S1206-4,0))</f>
        <v/>
      </c>
      <c r="I1206" s="294" t="str">
        <f ca="1">IF(ISERROR($S1206),"",OFFSET('Smelter Reference List'!$H$4,$S1206-4,0))</f>
        <v/>
      </c>
      <c r="J1206" s="294" t="str">
        <f ca="1">IF(ISERROR($S1206),"",OFFSET('Smelter Reference List'!$I$4,$S1206-4,0))</f>
        <v/>
      </c>
      <c r="K1206" s="295"/>
      <c r="L1206" s="295"/>
      <c r="M1206" s="295"/>
      <c r="N1206" s="295"/>
      <c r="O1206" s="295"/>
      <c r="P1206" s="295"/>
      <c r="Q1206" s="296"/>
      <c r="R1206" s="227"/>
      <c r="S1206" s="228" t="e">
        <f>IF(C1206="",NA(),MATCH($B1206&amp;$C1206,'Smelter Reference List'!$J:$J,0))</f>
        <v>#N/A</v>
      </c>
      <c r="T1206" s="229"/>
      <c r="U1206" s="229">
        <f t="shared" ca="1" si="38"/>
        <v>0</v>
      </c>
      <c r="V1206" s="229"/>
      <c r="W1206" s="229"/>
      <c r="Y1206" s="223" t="str">
        <f t="shared" si="39"/>
        <v/>
      </c>
    </row>
    <row r="1207" spans="1:25" s="223" customFormat="1" ht="20.25">
      <c r="A1207" s="291"/>
      <c r="B1207" s="292" t="str">
        <f>IF(LEN(A1207)=0,"",INDEX('Smelter Reference List'!$A:$A,MATCH($A1207,'Smelter Reference List'!$E:$E,0)))</f>
        <v/>
      </c>
      <c r="C1207" s="298" t="str">
        <f>IF(LEN(A1207)=0,"",INDEX('Smelter Reference List'!$C:$C,MATCH($A1207,'Smelter Reference List'!$E:$E,0)))</f>
        <v/>
      </c>
      <c r="D1207" s="292" t="str">
        <f ca="1">IF(ISERROR($S1207),"",OFFSET('Smelter Reference List'!$C$4,$S1207-4,0)&amp;"")</f>
        <v/>
      </c>
      <c r="E1207" s="292" t="str">
        <f ca="1">IF(ISERROR($S1207),"",OFFSET('Smelter Reference List'!$D$4,$S1207-4,0)&amp;"")</f>
        <v/>
      </c>
      <c r="F1207" s="292" t="str">
        <f ca="1">IF(ISERROR($S1207),"",OFFSET('Smelter Reference List'!$E$4,$S1207-4,0))</f>
        <v/>
      </c>
      <c r="G1207" s="292" t="str">
        <f ca="1">IF(C1207=$U$4,"Enter smelter details", IF(ISERROR($S1207),"",OFFSET('Smelter Reference List'!$F$4,$S1207-4,0)))</f>
        <v/>
      </c>
      <c r="H1207" s="293" t="str">
        <f ca="1">IF(ISERROR($S1207),"",OFFSET('Smelter Reference List'!$G$4,$S1207-4,0))</f>
        <v/>
      </c>
      <c r="I1207" s="294" t="str">
        <f ca="1">IF(ISERROR($S1207),"",OFFSET('Smelter Reference List'!$H$4,$S1207-4,0))</f>
        <v/>
      </c>
      <c r="J1207" s="294" t="str">
        <f ca="1">IF(ISERROR($S1207),"",OFFSET('Smelter Reference List'!$I$4,$S1207-4,0))</f>
        <v/>
      </c>
      <c r="K1207" s="295"/>
      <c r="L1207" s="295"/>
      <c r="M1207" s="295"/>
      <c r="N1207" s="295"/>
      <c r="O1207" s="295"/>
      <c r="P1207" s="295"/>
      <c r="Q1207" s="296"/>
      <c r="R1207" s="227"/>
      <c r="S1207" s="228" t="e">
        <f>IF(C1207="",NA(),MATCH($B1207&amp;$C1207,'Smelter Reference List'!$J:$J,0))</f>
        <v>#N/A</v>
      </c>
      <c r="T1207" s="229"/>
      <c r="U1207" s="229">
        <f t="shared" ca="1" si="38"/>
        <v>0</v>
      </c>
      <c r="V1207" s="229"/>
      <c r="W1207" s="229"/>
      <c r="Y1207" s="223" t="str">
        <f t="shared" si="39"/>
        <v/>
      </c>
    </row>
    <row r="1208" spans="1:25" s="223" customFormat="1" ht="20.25">
      <c r="A1208" s="291"/>
      <c r="B1208" s="292" t="str">
        <f>IF(LEN(A1208)=0,"",INDEX('Smelter Reference List'!$A:$A,MATCH($A1208,'Smelter Reference List'!$E:$E,0)))</f>
        <v/>
      </c>
      <c r="C1208" s="298" t="str">
        <f>IF(LEN(A1208)=0,"",INDEX('Smelter Reference List'!$C:$C,MATCH($A1208,'Smelter Reference List'!$E:$E,0)))</f>
        <v/>
      </c>
      <c r="D1208" s="292" t="str">
        <f ca="1">IF(ISERROR($S1208),"",OFFSET('Smelter Reference List'!$C$4,$S1208-4,0)&amp;"")</f>
        <v/>
      </c>
      <c r="E1208" s="292" t="str">
        <f ca="1">IF(ISERROR($S1208),"",OFFSET('Smelter Reference List'!$D$4,$S1208-4,0)&amp;"")</f>
        <v/>
      </c>
      <c r="F1208" s="292" t="str">
        <f ca="1">IF(ISERROR($S1208),"",OFFSET('Smelter Reference List'!$E$4,$S1208-4,0))</f>
        <v/>
      </c>
      <c r="G1208" s="292" t="str">
        <f ca="1">IF(C1208=$U$4,"Enter smelter details", IF(ISERROR($S1208),"",OFFSET('Smelter Reference List'!$F$4,$S1208-4,0)))</f>
        <v/>
      </c>
      <c r="H1208" s="293" t="str">
        <f ca="1">IF(ISERROR($S1208),"",OFFSET('Smelter Reference List'!$G$4,$S1208-4,0))</f>
        <v/>
      </c>
      <c r="I1208" s="294" t="str">
        <f ca="1">IF(ISERROR($S1208),"",OFFSET('Smelter Reference List'!$H$4,$S1208-4,0))</f>
        <v/>
      </c>
      <c r="J1208" s="294" t="str">
        <f ca="1">IF(ISERROR($S1208),"",OFFSET('Smelter Reference List'!$I$4,$S1208-4,0))</f>
        <v/>
      </c>
      <c r="K1208" s="295"/>
      <c r="L1208" s="295"/>
      <c r="M1208" s="295"/>
      <c r="N1208" s="295"/>
      <c r="O1208" s="295"/>
      <c r="P1208" s="295"/>
      <c r="Q1208" s="296"/>
      <c r="R1208" s="227"/>
      <c r="S1208" s="228" t="e">
        <f>IF(C1208="",NA(),MATCH($B1208&amp;$C1208,'Smelter Reference List'!$J:$J,0))</f>
        <v>#N/A</v>
      </c>
      <c r="T1208" s="229"/>
      <c r="U1208" s="229">
        <f t="shared" ca="1" si="38"/>
        <v>0</v>
      </c>
      <c r="V1208" s="229"/>
      <c r="W1208" s="229"/>
      <c r="Y1208" s="223" t="str">
        <f t="shared" si="39"/>
        <v/>
      </c>
    </row>
    <row r="1209" spans="1:25" s="223" customFormat="1" ht="20.25">
      <c r="A1209" s="291"/>
      <c r="B1209" s="292" t="str">
        <f>IF(LEN(A1209)=0,"",INDEX('Smelter Reference List'!$A:$A,MATCH($A1209,'Smelter Reference List'!$E:$E,0)))</f>
        <v/>
      </c>
      <c r="C1209" s="298" t="str">
        <f>IF(LEN(A1209)=0,"",INDEX('Smelter Reference List'!$C:$C,MATCH($A1209,'Smelter Reference List'!$E:$E,0)))</f>
        <v/>
      </c>
      <c r="D1209" s="292" t="str">
        <f ca="1">IF(ISERROR($S1209),"",OFFSET('Smelter Reference List'!$C$4,$S1209-4,0)&amp;"")</f>
        <v/>
      </c>
      <c r="E1209" s="292" t="str">
        <f ca="1">IF(ISERROR($S1209),"",OFFSET('Smelter Reference List'!$D$4,$S1209-4,0)&amp;"")</f>
        <v/>
      </c>
      <c r="F1209" s="292" t="str">
        <f ca="1">IF(ISERROR($S1209),"",OFFSET('Smelter Reference List'!$E$4,$S1209-4,0))</f>
        <v/>
      </c>
      <c r="G1209" s="292" t="str">
        <f ca="1">IF(C1209=$U$4,"Enter smelter details", IF(ISERROR($S1209),"",OFFSET('Smelter Reference List'!$F$4,$S1209-4,0)))</f>
        <v/>
      </c>
      <c r="H1209" s="293" t="str">
        <f ca="1">IF(ISERROR($S1209),"",OFFSET('Smelter Reference List'!$G$4,$S1209-4,0))</f>
        <v/>
      </c>
      <c r="I1209" s="294" t="str">
        <f ca="1">IF(ISERROR($S1209),"",OFFSET('Smelter Reference List'!$H$4,$S1209-4,0))</f>
        <v/>
      </c>
      <c r="J1209" s="294" t="str">
        <f ca="1">IF(ISERROR($S1209),"",OFFSET('Smelter Reference List'!$I$4,$S1209-4,0))</f>
        <v/>
      </c>
      <c r="K1209" s="295"/>
      <c r="L1209" s="295"/>
      <c r="M1209" s="295"/>
      <c r="N1209" s="295"/>
      <c r="O1209" s="295"/>
      <c r="P1209" s="295"/>
      <c r="Q1209" s="296"/>
      <c r="R1209" s="227"/>
      <c r="S1209" s="228" t="e">
        <f>IF(C1209="",NA(),MATCH($B1209&amp;$C1209,'Smelter Reference List'!$J:$J,0))</f>
        <v>#N/A</v>
      </c>
      <c r="T1209" s="229"/>
      <c r="U1209" s="229">
        <f t="shared" ca="1" si="38"/>
        <v>0</v>
      </c>
      <c r="V1209" s="229"/>
      <c r="W1209" s="229"/>
      <c r="Y1209" s="223" t="str">
        <f t="shared" si="39"/>
        <v/>
      </c>
    </row>
    <row r="1210" spans="1:25" s="223" customFormat="1" ht="20.25">
      <c r="A1210" s="291"/>
      <c r="B1210" s="292" t="str">
        <f>IF(LEN(A1210)=0,"",INDEX('Smelter Reference List'!$A:$A,MATCH($A1210,'Smelter Reference List'!$E:$E,0)))</f>
        <v/>
      </c>
      <c r="C1210" s="298" t="str">
        <f>IF(LEN(A1210)=0,"",INDEX('Smelter Reference List'!$C:$C,MATCH($A1210,'Smelter Reference List'!$E:$E,0)))</f>
        <v/>
      </c>
      <c r="D1210" s="292" t="str">
        <f ca="1">IF(ISERROR($S1210),"",OFFSET('Smelter Reference List'!$C$4,$S1210-4,0)&amp;"")</f>
        <v/>
      </c>
      <c r="E1210" s="292" t="str">
        <f ca="1">IF(ISERROR($S1210),"",OFFSET('Smelter Reference List'!$D$4,$S1210-4,0)&amp;"")</f>
        <v/>
      </c>
      <c r="F1210" s="292" t="str">
        <f ca="1">IF(ISERROR($S1210),"",OFFSET('Smelter Reference List'!$E$4,$S1210-4,0))</f>
        <v/>
      </c>
      <c r="G1210" s="292" t="str">
        <f ca="1">IF(C1210=$U$4,"Enter smelter details", IF(ISERROR($S1210),"",OFFSET('Smelter Reference List'!$F$4,$S1210-4,0)))</f>
        <v/>
      </c>
      <c r="H1210" s="293" t="str">
        <f ca="1">IF(ISERROR($S1210),"",OFFSET('Smelter Reference List'!$G$4,$S1210-4,0))</f>
        <v/>
      </c>
      <c r="I1210" s="294" t="str">
        <f ca="1">IF(ISERROR($S1210),"",OFFSET('Smelter Reference List'!$H$4,$S1210-4,0))</f>
        <v/>
      </c>
      <c r="J1210" s="294" t="str">
        <f ca="1">IF(ISERROR($S1210),"",OFFSET('Smelter Reference List'!$I$4,$S1210-4,0))</f>
        <v/>
      </c>
      <c r="K1210" s="295"/>
      <c r="L1210" s="295"/>
      <c r="M1210" s="295"/>
      <c r="N1210" s="295"/>
      <c r="O1210" s="295"/>
      <c r="P1210" s="295"/>
      <c r="Q1210" s="296"/>
      <c r="R1210" s="227"/>
      <c r="S1210" s="228" t="e">
        <f>IF(C1210="",NA(),MATCH($B1210&amp;$C1210,'Smelter Reference List'!$J:$J,0))</f>
        <v>#N/A</v>
      </c>
      <c r="T1210" s="229"/>
      <c r="U1210" s="229">
        <f t="shared" ca="1" si="38"/>
        <v>0</v>
      </c>
      <c r="V1210" s="229"/>
      <c r="W1210" s="229"/>
      <c r="Y1210" s="223" t="str">
        <f t="shared" si="39"/>
        <v/>
      </c>
    </row>
    <row r="1211" spans="1:25" s="223" customFormat="1" ht="20.25">
      <c r="A1211" s="291"/>
      <c r="B1211" s="292" t="str">
        <f>IF(LEN(A1211)=0,"",INDEX('Smelter Reference List'!$A:$A,MATCH($A1211,'Smelter Reference List'!$E:$E,0)))</f>
        <v/>
      </c>
      <c r="C1211" s="298" t="str">
        <f>IF(LEN(A1211)=0,"",INDEX('Smelter Reference List'!$C:$C,MATCH($A1211,'Smelter Reference List'!$E:$E,0)))</f>
        <v/>
      </c>
      <c r="D1211" s="292" t="str">
        <f ca="1">IF(ISERROR($S1211),"",OFFSET('Smelter Reference List'!$C$4,$S1211-4,0)&amp;"")</f>
        <v/>
      </c>
      <c r="E1211" s="292" t="str">
        <f ca="1">IF(ISERROR($S1211),"",OFFSET('Smelter Reference List'!$D$4,$S1211-4,0)&amp;"")</f>
        <v/>
      </c>
      <c r="F1211" s="292" t="str">
        <f ca="1">IF(ISERROR($S1211),"",OFFSET('Smelter Reference List'!$E$4,$S1211-4,0))</f>
        <v/>
      </c>
      <c r="G1211" s="292" t="str">
        <f ca="1">IF(C1211=$U$4,"Enter smelter details", IF(ISERROR($S1211),"",OFFSET('Smelter Reference List'!$F$4,$S1211-4,0)))</f>
        <v/>
      </c>
      <c r="H1211" s="293" t="str">
        <f ca="1">IF(ISERROR($S1211),"",OFFSET('Smelter Reference List'!$G$4,$S1211-4,0))</f>
        <v/>
      </c>
      <c r="I1211" s="294" t="str">
        <f ca="1">IF(ISERROR($S1211),"",OFFSET('Smelter Reference List'!$H$4,$S1211-4,0))</f>
        <v/>
      </c>
      <c r="J1211" s="294" t="str">
        <f ca="1">IF(ISERROR($S1211),"",OFFSET('Smelter Reference List'!$I$4,$S1211-4,0))</f>
        <v/>
      </c>
      <c r="K1211" s="295"/>
      <c r="L1211" s="295"/>
      <c r="M1211" s="295"/>
      <c r="N1211" s="295"/>
      <c r="O1211" s="295"/>
      <c r="P1211" s="295"/>
      <c r="Q1211" s="296"/>
      <c r="R1211" s="227"/>
      <c r="S1211" s="228" t="e">
        <f>IF(C1211="",NA(),MATCH($B1211&amp;$C1211,'Smelter Reference List'!$J:$J,0))</f>
        <v>#N/A</v>
      </c>
      <c r="T1211" s="229"/>
      <c r="U1211" s="229">
        <f t="shared" ca="1" si="38"/>
        <v>0</v>
      </c>
      <c r="V1211" s="229"/>
      <c r="W1211" s="229"/>
      <c r="Y1211" s="223" t="str">
        <f t="shared" si="39"/>
        <v/>
      </c>
    </row>
    <row r="1212" spans="1:25" s="223" customFormat="1" ht="20.25">
      <c r="A1212" s="291"/>
      <c r="B1212" s="292" t="str">
        <f>IF(LEN(A1212)=0,"",INDEX('Smelter Reference List'!$A:$A,MATCH($A1212,'Smelter Reference List'!$E:$E,0)))</f>
        <v/>
      </c>
      <c r="C1212" s="298" t="str">
        <f>IF(LEN(A1212)=0,"",INDEX('Smelter Reference List'!$C:$C,MATCH($A1212,'Smelter Reference List'!$E:$E,0)))</f>
        <v/>
      </c>
      <c r="D1212" s="292" t="str">
        <f ca="1">IF(ISERROR($S1212),"",OFFSET('Smelter Reference List'!$C$4,$S1212-4,0)&amp;"")</f>
        <v/>
      </c>
      <c r="E1212" s="292" t="str">
        <f ca="1">IF(ISERROR($S1212),"",OFFSET('Smelter Reference List'!$D$4,$S1212-4,0)&amp;"")</f>
        <v/>
      </c>
      <c r="F1212" s="292" t="str">
        <f ca="1">IF(ISERROR($S1212),"",OFFSET('Smelter Reference List'!$E$4,$S1212-4,0))</f>
        <v/>
      </c>
      <c r="G1212" s="292" t="str">
        <f ca="1">IF(C1212=$U$4,"Enter smelter details", IF(ISERROR($S1212),"",OFFSET('Smelter Reference List'!$F$4,$S1212-4,0)))</f>
        <v/>
      </c>
      <c r="H1212" s="293" t="str">
        <f ca="1">IF(ISERROR($S1212),"",OFFSET('Smelter Reference List'!$G$4,$S1212-4,0))</f>
        <v/>
      </c>
      <c r="I1212" s="294" t="str">
        <f ca="1">IF(ISERROR($S1212),"",OFFSET('Smelter Reference List'!$H$4,$S1212-4,0))</f>
        <v/>
      </c>
      <c r="J1212" s="294" t="str">
        <f ca="1">IF(ISERROR($S1212),"",OFFSET('Smelter Reference List'!$I$4,$S1212-4,0))</f>
        <v/>
      </c>
      <c r="K1212" s="295"/>
      <c r="L1212" s="295"/>
      <c r="M1212" s="295"/>
      <c r="N1212" s="295"/>
      <c r="O1212" s="295"/>
      <c r="P1212" s="295"/>
      <c r="Q1212" s="296"/>
      <c r="R1212" s="227"/>
      <c r="S1212" s="228" t="e">
        <f>IF(C1212="",NA(),MATCH($B1212&amp;$C1212,'Smelter Reference List'!$J:$J,0))</f>
        <v>#N/A</v>
      </c>
      <c r="T1212" s="229"/>
      <c r="U1212" s="229">
        <f t="shared" ca="1" si="38"/>
        <v>0</v>
      </c>
      <c r="V1212" s="229"/>
      <c r="W1212" s="229"/>
      <c r="Y1212" s="223" t="str">
        <f t="shared" si="39"/>
        <v/>
      </c>
    </row>
    <row r="1213" spans="1:25" s="223" customFormat="1" ht="20.25">
      <c r="A1213" s="291"/>
      <c r="B1213" s="292" t="str">
        <f>IF(LEN(A1213)=0,"",INDEX('Smelter Reference List'!$A:$A,MATCH($A1213,'Smelter Reference List'!$E:$E,0)))</f>
        <v/>
      </c>
      <c r="C1213" s="298" t="str">
        <f>IF(LEN(A1213)=0,"",INDEX('Smelter Reference List'!$C:$C,MATCH($A1213,'Smelter Reference List'!$E:$E,0)))</f>
        <v/>
      </c>
      <c r="D1213" s="292" t="str">
        <f ca="1">IF(ISERROR($S1213),"",OFFSET('Smelter Reference List'!$C$4,$S1213-4,0)&amp;"")</f>
        <v/>
      </c>
      <c r="E1213" s="292" t="str">
        <f ca="1">IF(ISERROR($S1213),"",OFFSET('Smelter Reference List'!$D$4,$S1213-4,0)&amp;"")</f>
        <v/>
      </c>
      <c r="F1213" s="292" t="str">
        <f ca="1">IF(ISERROR($S1213),"",OFFSET('Smelter Reference List'!$E$4,$S1213-4,0))</f>
        <v/>
      </c>
      <c r="G1213" s="292" t="str">
        <f ca="1">IF(C1213=$U$4,"Enter smelter details", IF(ISERROR($S1213),"",OFFSET('Smelter Reference List'!$F$4,$S1213-4,0)))</f>
        <v/>
      </c>
      <c r="H1213" s="293" t="str">
        <f ca="1">IF(ISERROR($S1213),"",OFFSET('Smelter Reference List'!$G$4,$S1213-4,0))</f>
        <v/>
      </c>
      <c r="I1213" s="294" t="str">
        <f ca="1">IF(ISERROR($S1213),"",OFFSET('Smelter Reference List'!$H$4,$S1213-4,0))</f>
        <v/>
      </c>
      <c r="J1213" s="294" t="str">
        <f ca="1">IF(ISERROR($S1213),"",OFFSET('Smelter Reference List'!$I$4,$S1213-4,0))</f>
        <v/>
      </c>
      <c r="K1213" s="295"/>
      <c r="L1213" s="295"/>
      <c r="M1213" s="295"/>
      <c r="N1213" s="295"/>
      <c r="O1213" s="295"/>
      <c r="P1213" s="295"/>
      <c r="Q1213" s="296"/>
      <c r="R1213" s="227"/>
      <c r="S1213" s="228" t="e">
        <f>IF(C1213="",NA(),MATCH($B1213&amp;$C1213,'Smelter Reference List'!$J:$J,0))</f>
        <v>#N/A</v>
      </c>
      <c r="T1213" s="229"/>
      <c r="U1213" s="229">
        <f t="shared" ca="1" si="38"/>
        <v>0</v>
      </c>
      <c r="V1213" s="229"/>
      <c r="W1213" s="229"/>
      <c r="Y1213" s="223" t="str">
        <f t="shared" si="39"/>
        <v/>
      </c>
    </row>
    <row r="1214" spans="1:25" s="223" customFormat="1" ht="20.25">
      <c r="A1214" s="291"/>
      <c r="B1214" s="292" t="str">
        <f>IF(LEN(A1214)=0,"",INDEX('Smelter Reference List'!$A:$A,MATCH($A1214,'Smelter Reference List'!$E:$E,0)))</f>
        <v/>
      </c>
      <c r="C1214" s="298" t="str">
        <f>IF(LEN(A1214)=0,"",INDEX('Smelter Reference List'!$C:$C,MATCH($A1214,'Smelter Reference List'!$E:$E,0)))</f>
        <v/>
      </c>
      <c r="D1214" s="292" t="str">
        <f ca="1">IF(ISERROR($S1214),"",OFFSET('Smelter Reference List'!$C$4,$S1214-4,0)&amp;"")</f>
        <v/>
      </c>
      <c r="E1214" s="292" t="str">
        <f ca="1">IF(ISERROR($S1214),"",OFFSET('Smelter Reference List'!$D$4,$S1214-4,0)&amp;"")</f>
        <v/>
      </c>
      <c r="F1214" s="292" t="str">
        <f ca="1">IF(ISERROR($S1214),"",OFFSET('Smelter Reference List'!$E$4,$S1214-4,0))</f>
        <v/>
      </c>
      <c r="G1214" s="292" t="str">
        <f ca="1">IF(C1214=$U$4,"Enter smelter details", IF(ISERROR($S1214),"",OFFSET('Smelter Reference List'!$F$4,$S1214-4,0)))</f>
        <v/>
      </c>
      <c r="H1214" s="293" t="str">
        <f ca="1">IF(ISERROR($S1214),"",OFFSET('Smelter Reference List'!$G$4,$S1214-4,0))</f>
        <v/>
      </c>
      <c r="I1214" s="294" t="str">
        <f ca="1">IF(ISERROR($S1214),"",OFFSET('Smelter Reference List'!$H$4,$S1214-4,0))</f>
        <v/>
      </c>
      <c r="J1214" s="294" t="str">
        <f ca="1">IF(ISERROR($S1214),"",OFFSET('Smelter Reference List'!$I$4,$S1214-4,0))</f>
        <v/>
      </c>
      <c r="K1214" s="295"/>
      <c r="L1214" s="295"/>
      <c r="M1214" s="295"/>
      <c r="N1214" s="295"/>
      <c r="O1214" s="295"/>
      <c r="P1214" s="295"/>
      <c r="Q1214" s="296"/>
      <c r="R1214" s="227"/>
      <c r="S1214" s="228" t="e">
        <f>IF(C1214="",NA(),MATCH($B1214&amp;$C1214,'Smelter Reference List'!$J:$J,0))</f>
        <v>#N/A</v>
      </c>
      <c r="T1214" s="229"/>
      <c r="U1214" s="229">
        <f t="shared" ca="1" si="38"/>
        <v>0</v>
      </c>
      <c r="V1214" s="229"/>
      <c r="W1214" s="229"/>
      <c r="Y1214" s="223" t="str">
        <f t="shared" si="39"/>
        <v/>
      </c>
    </row>
    <row r="1215" spans="1:25" s="223" customFormat="1" ht="20.25">
      <c r="A1215" s="291"/>
      <c r="B1215" s="292" t="str">
        <f>IF(LEN(A1215)=0,"",INDEX('Smelter Reference List'!$A:$A,MATCH($A1215,'Smelter Reference List'!$E:$E,0)))</f>
        <v/>
      </c>
      <c r="C1215" s="298" t="str">
        <f>IF(LEN(A1215)=0,"",INDEX('Smelter Reference List'!$C:$C,MATCH($A1215,'Smelter Reference List'!$E:$E,0)))</f>
        <v/>
      </c>
      <c r="D1215" s="292" t="str">
        <f ca="1">IF(ISERROR($S1215),"",OFFSET('Smelter Reference List'!$C$4,$S1215-4,0)&amp;"")</f>
        <v/>
      </c>
      <c r="E1215" s="292" t="str">
        <f ca="1">IF(ISERROR($S1215),"",OFFSET('Smelter Reference List'!$D$4,$S1215-4,0)&amp;"")</f>
        <v/>
      </c>
      <c r="F1215" s="292" t="str">
        <f ca="1">IF(ISERROR($S1215),"",OFFSET('Smelter Reference List'!$E$4,$S1215-4,0))</f>
        <v/>
      </c>
      <c r="G1215" s="292" t="str">
        <f ca="1">IF(C1215=$U$4,"Enter smelter details", IF(ISERROR($S1215),"",OFFSET('Smelter Reference List'!$F$4,$S1215-4,0)))</f>
        <v/>
      </c>
      <c r="H1215" s="293" t="str">
        <f ca="1">IF(ISERROR($S1215),"",OFFSET('Smelter Reference List'!$G$4,$S1215-4,0))</f>
        <v/>
      </c>
      <c r="I1215" s="294" t="str">
        <f ca="1">IF(ISERROR($S1215),"",OFFSET('Smelter Reference List'!$H$4,$S1215-4,0))</f>
        <v/>
      </c>
      <c r="J1215" s="294" t="str">
        <f ca="1">IF(ISERROR($S1215),"",OFFSET('Smelter Reference List'!$I$4,$S1215-4,0))</f>
        <v/>
      </c>
      <c r="K1215" s="295"/>
      <c r="L1215" s="295"/>
      <c r="M1215" s="295"/>
      <c r="N1215" s="295"/>
      <c r="O1215" s="295"/>
      <c r="P1215" s="295"/>
      <c r="Q1215" s="296"/>
      <c r="R1215" s="227"/>
      <c r="S1215" s="228" t="e">
        <f>IF(C1215="",NA(),MATCH($B1215&amp;$C1215,'Smelter Reference List'!$J:$J,0))</f>
        <v>#N/A</v>
      </c>
      <c r="T1215" s="229"/>
      <c r="U1215" s="229">
        <f t="shared" ca="1" si="38"/>
        <v>0</v>
      </c>
      <c r="V1215" s="229"/>
      <c r="W1215" s="229"/>
      <c r="Y1215" s="223" t="str">
        <f t="shared" si="39"/>
        <v/>
      </c>
    </row>
    <row r="1216" spans="1:25" s="223" customFormat="1" ht="20.25">
      <c r="A1216" s="291"/>
      <c r="B1216" s="292" t="str">
        <f>IF(LEN(A1216)=0,"",INDEX('Smelter Reference List'!$A:$A,MATCH($A1216,'Smelter Reference List'!$E:$E,0)))</f>
        <v/>
      </c>
      <c r="C1216" s="298" t="str">
        <f>IF(LEN(A1216)=0,"",INDEX('Smelter Reference List'!$C:$C,MATCH($A1216,'Smelter Reference List'!$E:$E,0)))</f>
        <v/>
      </c>
      <c r="D1216" s="292" t="str">
        <f ca="1">IF(ISERROR($S1216),"",OFFSET('Smelter Reference List'!$C$4,$S1216-4,0)&amp;"")</f>
        <v/>
      </c>
      <c r="E1216" s="292" t="str">
        <f ca="1">IF(ISERROR($S1216),"",OFFSET('Smelter Reference List'!$D$4,$S1216-4,0)&amp;"")</f>
        <v/>
      </c>
      <c r="F1216" s="292" t="str">
        <f ca="1">IF(ISERROR($S1216),"",OFFSET('Smelter Reference List'!$E$4,$S1216-4,0))</f>
        <v/>
      </c>
      <c r="G1216" s="292" t="str">
        <f ca="1">IF(C1216=$U$4,"Enter smelter details", IF(ISERROR($S1216),"",OFFSET('Smelter Reference List'!$F$4,$S1216-4,0)))</f>
        <v/>
      </c>
      <c r="H1216" s="293" t="str">
        <f ca="1">IF(ISERROR($S1216),"",OFFSET('Smelter Reference List'!$G$4,$S1216-4,0))</f>
        <v/>
      </c>
      <c r="I1216" s="294" t="str">
        <f ca="1">IF(ISERROR($S1216),"",OFFSET('Smelter Reference List'!$H$4,$S1216-4,0))</f>
        <v/>
      </c>
      <c r="J1216" s="294" t="str">
        <f ca="1">IF(ISERROR($S1216),"",OFFSET('Smelter Reference List'!$I$4,$S1216-4,0))</f>
        <v/>
      </c>
      <c r="K1216" s="295"/>
      <c r="L1216" s="295"/>
      <c r="M1216" s="295"/>
      <c r="N1216" s="295"/>
      <c r="O1216" s="295"/>
      <c r="P1216" s="295"/>
      <c r="Q1216" s="296"/>
      <c r="R1216" s="227"/>
      <c r="S1216" s="228" t="e">
        <f>IF(C1216="",NA(),MATCH($B1216&amp;$C1216,'Smelter Reference List'!$J:$J,0))</f>
        <v>#N/A</v>
      </c>
      <c r="T1216" s="229"/>
      <c r="U1216" s="229">
        <f t="shared" ca="1" si="38"/>
        <v>0</v>
      </c>
      <c r="V1216" s="229"/>
      <c r="W1216" s="229"/>
      <c r="Y1216" s="223" t="str">
        <f t="shared" si="39"/>
        <v/>
      </c>
    </row>
    <row r="1217" spans="1:25" s="223" customFormat="1" ht="20.25">
      <c r="A1217" s="291"/>
      <c r="B1217" s="292" t="str">
        <f>IF(LEN(A1217)=0,"",INDEX('Smelter Reference List'!$A:$A,MATCH($A1217,'Smelter Reference List'!$E:$E,0)))</f>
        <v/>
      </c>
      <c r="C1217" s="298" t="str">
        <f>IF(LEN(A1217)=0,"",INDEX('Smelter Reference List'!$C:$C,MATCH($A1217,'Smelter Reference List'!$E:$E,0)))</f>
        <v/>
      </c>
      <c r="D1217" s="292" t="str">
        <f ca="1">IF(ISERROR($S1217),"",OFFSET('Smelter Reference List'!$C$4,$S1217-4,0)&amp;"")</f>
        <v/>
      </c>
      <c r="E1217" s="292" t="str">
        <f ca="1">IF(ISERROR($S1217),"",OFFSET('Smelter Reference List'!$D$4,$S1217-4,0)&amp;"")</f>
        <v/>
      </c>
      <c r="F1217" s="292" t="str">
        <f ca="1">IF(ISERROR($S1217),"",OFFSET('Smelter Reference List'!$E$4,$S1217-4,0))</f>
        <v/>
      </c>
      <c r="G1217" s="292" t="str">
        <f ca="1">IF(C1217=$U$4,"Enter smelter details", IF(ISERROR($S1217),"",OFFSET('Smelter Reference List'!$F$4,$S1217-4,0)))</f>
        <v/>
      </c>
      <c r="H1217" s="293" t="str">
        <f ca="1">IF(ISERROR($S1217),"",OFFSET('Smelter Reference List'!$G$4,$S1217-4,0))</f>
        <v/>
      </c>
      <c r="I1217" s="294" t="str">
        <f ca="1">IF(ISERROR($S1217),"",OFFSET('Smelter Reference List'!$H$4,$S1217-4,0))</f>
        <v/>
      </c>
      <c r="J1217" s="294" t="str">
        <f ca="1">IF(ISERROR($S1217),"",OFFSET('Smelter Reference List'!$I$4,$S1217-4,0))</f>
        <v/>
      </c>
      <c r="K1217" s="295"/>
      <c r="L1217" s="295"/>
      <c r="M1217" s="295"/>
      <c r="N1217" s="295"/>
      <c r="O1217" s="295"/>
      <c r="P1217" s="295"/>
      <c r="Q1217" s="296"/>
      <c r="R1217" s="227"/>
      <c r="S1217" s="228" t="e">
        <f>IF(C1217="",NA(),MATCH($B1217&amp;$C1217,'Smelter Reference List'!$J:$J,0))</f>
        <v>#N/A</v>
      </c>
      <c r="T1217" s="229"/>
      <c r="U1217" s="229">
        <f t="shared" ca="1" si="38"/>
        <v>0</v>
      </c>
      <c r="V1217" s="229"/>
      <c r="W1217" s="229"/>
      <c r="Y1217" s="223" t="str">
        <f t="shared" si="39"/>
        <v/>
      </c>
    </row>
    <row r="1218" spans="1:25" s="223" customFormat="1" ht="20.25">
      <c r="A1218" s="291"/>
      <c r="B1218" s="292" t="str">
        <f>IF(LEN(A1218)=0,"",INDEX('Smelter Reference List'!$A:$A,MATCH($A1218,'Smelter Reference List'!$E:$E,0)))</f>
        <v/>
      </c>
      <c r="C1218" s="298" t="str">
        <f>IF(LEN(A1218)=0,"",INDEX('Smelter Reference List'!$C:$C,MATCH($A1218,'Smelter Reference List'!$E:$E,0)))</f>
        <v/>
      </c>
      <c r="D1218" s="292" t="str">
        <f ca="1">IF(ISERROR($S1218),"",OFFSET('Smelter Reference List'!$C$4,$S1218-4,0)&amp;"")</f>
        <v/>
      </c>
      <c r="E1218" s="292" t="str">
        <f ca="1">IF(ISERROR($S1218),"",OFFSET('Smelter Reference List'!$D$4,$S1218-4,0)&amp;"")</f>
        <v/>
      </c>
      <c r="F1218" s="292" t="str">
        <f ca="1">IF(ISERROR($S1218),"",OFFSET('Smelter Reference List'!$E$4,$S1218-4,0))</f>
        <v/>
      </c>
      <c r="G1218" s="292" t="str">
        <f ca="1">IF(C1218=$U$4,"Enter smelter details", IF(ISERROR($S1218),"",OFFSET('Smelter Reference List'!$F$4,$S1218-4,0)))</f>
        <v/>
      </c>
      <c r="H1218" s="293" t="str">
        <f ca="1">IF(ISERROR($S1218),"",OFFSET('Smelter Reference List'!$G$4,$S1218-4,0))</f>
        <v/>
      </c>
      <c r="I1218" s="294" t="str">
        <f ca="1">IF(ISERROR($S1218),"",OFFSET('Smelter Reference List'!$H$4,$S1218-4,0))</f>
        <v/>
      </c>
      <c r="J1218" s="294" t="str">
        <f ca="1">IF(ISERROR($S1218),"",OFFSET('Smelter Reference List'!$I$4,$S1218-4,0))</f>
        <v/>
      </c>
      <c r="K1218" s="295"/>
      <c r="L1218" s="295"/>
      <c r="M1218" s="295"/>
      <c r="N1218" s="295"/>
      <c r="O1218" s="295"/>
      <c r="P1218" s="295"/>
      <c r="Q1218" s="296"/>
      <c r="R1218" s="227"/>
      <c r="S1218" s="228" t="e">
        <f>IF(C1218="",NA(),MATCH($B1218&amp;$C1218,'Smelter Reference List'!$J:$J,0))</f>
        <v>#N/A</v>
      </c>
      <c r="T1218" s="229"/>
      <c r="U1218" s="229">
        <f t="shared" ca="1" si="38"/>
        <v>0</v>
      </c>
      <c r="V1218" s="229"/>
      <c r="W1218" s="229"/>
      <c r="Y1218" s="223" t="str">
        <f t="shared" si="39"/>
        <v/>
      </c>
    </row>
    <row r="1219" spans="1:25" s="223" customFormat="1" ht="20.25">
      <c r="A1219" s="291"/>
      <c r="B1219" s="292" t="str">
        <f>IF(LEN(A1219)=0,"",INDEX('Smelter Reference List'!$A:$A,MATCH($A1219,'Smelter Reference List'!$E:$E,0)))</f>
        <v/>
      </c>
      <c r="C1219" s="298" t="str">
        <f>IF(LEN(A1219)=0,"",INDEX('Smelter Reference List'!$C:$C,MATCH($A1219,'Smelter Reference List'!$E:$E,0)))</f>
        <v/>
      </c>
      <c r="D1219" s="292" t="str">
        <f ca="1">IF(ISERROR($S1219),"",OFFSET('Smelter Reference List'!$C$4,$S1219-4,0)&amp;"")</f>
        <v/>
      </c>
      <c r="E1219" s="292" t="str">
        <f ca="1">IF(ISERROR($S1219),"",OFFSET('Smelter Reference List'!$D$4,$S1219-4,0)&amp;"")</f>
        <v/>
      </c>
      <c r="F1219" s="292" t="str">
        <f ca="1">IF(ISERROR($S1219),"",OFFSET('Smelter Reference List'!$E$4,$S1219-4,0))</f>
        <v/>
      </c>
      <c r="G1219" s="292" t="str">
        <f ca="1">IF(C1219=$U$4,"Enter smelter details", IF(ISERROR($S1219),"",OFFSET('Smelter Reference List'!$F$4,$S1219-4,0)))</f>
        <v/>
      </c>
      <c r="H1219" s="293" t="str">
        <f ca="1">IF(ISERROR($S1219),"",OFFSET('Smelter Reference List'!$G$4,$S1219-4,0))</f>
        <v/>
      </c>
      <c r="I1219" s="294" t="str">
        <f ca="1">IF(ISERROR($S1219),"",OFFSET('Smelter Reference List'!$H$4,$S1219-4,0))</f>
        <v/>
      </c>
      <c r="J1219" s="294" t="str">
        <f ca="1">IF(ISERROR($S1219),"",OFFSET('Smelter Reference List'!$I$4,$S1219-4,0))</f>
        <v/>
      </c>
      <c r="K1219" s="295"/>
      <c r="L1219" s="295"/>
      <c r="M1219" s="295"/>
      <c r="N1219" s="295"/>
      <c r="O1219" s="295"/>
      <c r="P1219" s="295"/>
      <c r="Q1219" s="296"/>
      <c r="R1219" s="227"/>
      <c r="S1219" s="228" t="e">
        <f>IF(C1219="",NA(),MATCH($B1219&amp;$C1219,'Smelter Reference List'!$J:$J,0))</f>
        <v>#N/A</v>
      </c>
      <c r="T1219" s="229"/>
      <c r="U1219" s="229">
        <f t="shared" ca="1" si="38"/>
        <v>0</v>
      </c>
      <c r="V1219" s="229"/>
      <c r="W1219" s="229"/>
      <c r="Y1219" s="223" t="str">
        <f t="shared" si="39"/>
        <v/>
      </c>
    </row>
    <row r="1220" spans="1:25" s="223" customFormat="1" ht="20.25">
      <c r="A1220" s="291"/>
      <c r="B1220" s="292" t="str">
        <f>IF(LEN(A1220)=0,"",INDEX('Smelter Reference List'!$A:$A,MATCH($A1220,'Smelter Reference List'!$E:$E,0)))</f>
        <v/>
      </c>
      <c r="C1220" s="298" t="str">
        <f>IF(LEN(A1220)=0,"",INDEX('Smelter Reference List'!$C:$C,MATCH($A1220,'Smelter Reference List'!$E:$E,0)))</f>
        <v/>
      </c>
      <c r="D1220" s="292" t="str">
        <f ca="1">IF(ISERROR($S1220),"",OFFSET('Smelter Reference List'!$C$4,$S1220-4,0)&amp;"")</f>
        <v/>
      </c>
      <c r="E1220" s="292" t="str">
        <f ca="1">IF(ISERROR($S1220),"",OFFSET('Smelter Reference List'!$D$4,$S1220-4,0)&amp;"")</f>
        <v/>
      </c>
      <c r="F1220" s="292" t="str">
        <f ca="1">IF(ISERROR($S1220),"",OFFSET('Smelter Reference List'!$E$4,$S1220-4,0))</f>
        <v/>
      </c>
      <c r="G1220" s="292" t="str">
        <f ca="1">IF(C1220=$U$4,"Enter smelter details", IF(ISERROR($S1220),"",OFFSET('Smelter Reference List'!$F$4,$S1220-4,0)))</f>
        <v/>
      </c>
      <c r="H1220" s="293" t="str">
        <f ca="1">IF(ISERROR($S1220),"",OFFSET('Smelter Reference List'!$G$4,$S1220-4,0))</f>
        <v/>
      </c>
      <c r="I1220" s="294" t="str">
        <f ca="1">IF(ISERROR($S1220),"",OFFSET('Smelter Reference List'!$H$4,$S1220-4,0))</f>
        <v/>
      </c>
      <c r="J1220" s="294" t="str">
        <f ca="1">IF(ISERROR($S1220),"",OFFSET('Smelter Reference List'!$I$4,$S1220-4,0))</f>
        <v/>
      </c>
      <c r="K1220" s="295"/>
      <c r="L1220" s="295"/>
      <c r="M1220" s="295"/>
      <c r="N1220" s="295"/>
      <c r="O1220" s="295"/>
      <c r="P1220" s="295"/>
      <c r="Q1220" s="296"/>
      <c r="R1220" s="227"/>
      <c r="S1220" s="228" t="e">
        <f>IF(C1220="",NA(),MATCH($B1220&amp;$C1220,'Smelter Reference List'!$J:$J,0))</f>
        <v>#N/A</v>
      </c>
      <c r="T1220" s="229"/>
      <c r="U1220" s="229">
        <f t="shared" ca="1" si="38"/>
        <v>0</v>
      </c>
      <c r="V1220" s="229"/>
      <c r="W1220" s="229"/>
      <c r="Y1220" s="223" t="str">
        <f t="shared" si="39"/>
        <v/>
      </c>
    </row>
    <row r="1221" spans="1:25" s="223" customFormat="1" ht="20.25">
      <c r="A1221" s="291"/>
      <c r="B1221" s="292" t="str">
        <f>IF(LEN(A1221)=0,"",INDEX('Smelter Reference List'!$A:$A,MATCH($A1221,'Smelter Reference List'!$E:$E,0)))</f>
        <v/>
      </c>
      <c r="C1221" s="298" t="str">
        <f>IF(LEN(A1221)=0,"",INDEX('Smelter Reference List'!$C:$C,MATCH($A1221,'Smelter Reference List'!$E:$E,0)))</f>
        <v/>
      </c>
      <c r="D1221" s="292" t="str">
        <f ca="1">IF(ISERROR($S1221),"",OFFSET('Smelter Reference List'!$C$4,$S1221-4,0)&amp;"")</f>
        <v/>
      </c>
      <c r="E1221" s="292" t="str">
        <f ca="1">IF(ISERROR($S1221),"",OFFSET('Smelter Reference List'!$D$4,$S1221-4,0)&amp;"")</f>
        <v/>
      </c>
      <c r="F1221" s="292" t="str">
        <f ca="1">IF(ISERROR($S1221),"",OFFSET('Smelter Reference List'!$E$4,$S1221-4,0))</f>
        <v/>
      </c>
      <c r="G1221" s="292" t="str">
        <f ca="1">IF(C1221=$U$4,"Enter smelter details", IF(ISERROR($S1221),"",OFFSET('Smelter Reference List'!$F$4,$S1221-4,0)))</f>
        <v/>
      </c>
      <c r="H1221" s="293" t="str">
        <f ca="1">IF(ISERROR($S1221),"",OFFSET('Smelter Reference List'!$G$4,$S1221-4,0))</f>
        <v/>
      </c>
      <c r="I1221" s="294" t="str">
        <f ca="1">IF(ISERROR($S1221),"",OFFSET('Smelter Reference List'!$H$4,$S1221-4,0))</f>
        <v/>
      </c>
      <c r="J1221" s="294" t="str">
        <f ca="1">IF(ISERROR($S1221),"",OFFSET('Smelter Reference List'!$I$4,$S1221-4,0))</f>
        <v/>
      </c>
      <c r="K1221" s="295"/>
      <c r="L1221" s="295"/>
      <c r="M1221" s="295"/>
      <c r="N1221" s="295"/>
      <c r="O1221" s="295"/>
      <c r="P1221" s="295"/>
      <c r="Q1221" s="296"/>
      <c r="R1221" s="227"/>
      <c r="S1221" s="228" t="e">
        <f>IF(C1221="",NA(),MATCH($B1221&amp;$C1221,'Smelter Reference List'!$J:$J,0))</f>
        <v>#N/A</v>
      </c>
      <c r="T1221" s="229"/>
      <c r="U1221" s="229">
        <f t="shared" ref="U1221:U1284" ca="1" si="40">IF(AND(C1221="Smelter not listed",OR(LEN(D1221)=0,LEN(E1221)=0)),1,0)</f>
        <v>0</v>
      </c>
      <c r="V1221" s="229"/>
      <c r="W1221" s="229"/>
      <c r="Y1221" s="223" t="str">
        <f t="shared" ref="Y1221:Y1284" si="41">B1221&amp;C1221</f>
        <v/>
      </c>
    </row>
    <row r="1222" spans="1:25" s="223" customFormat="1" ht="20.25">
      <c r="A1222" s="291"/>
      <c r="B1222" s="292" t="str">
        <f>IF(LEN(A1222)=0,"",INDEX('Smelter Reference List'!$A:$A,MATCH($A1222,'Smelter Reference List'!$E:$E,0)))</f>
        <v/>
      </c>
      <c r="C1222" s="298" t="str">
        <f>IF(LEN(A1222)=0,"",INDEX('Smelter Reference List'!$C:$C,MATCH($A1222,'Smelter Reference List'!$E:$E,0)))</f>
        <v/>
      </c>
      <c r="D1222" s="292" t="str">
        <f ca="1">IF(ISERROR($S1222),"",OFFSET('Smelter Reference List'!$C$4,$S1222-4,0)&amp;"")</f>
        <v/>
      </c>
      <c r="E1222" s="292" t="str">
        <f ca="1">IF(ISERROR($S1222),"",OFFSET('Smelter Reference List'!$D$4,$S1222-4,0)&amp;"")</f>
        <v/>
      </c>
      <c r="F1222" s="292" t="str">
        <f ca="1">IF(ISERROR($S1222),"",OFFSET('Smelter Reference List'!$E$4,$S1222-4,0))</f>
        <v/>
      </c>
      <c r="G1222" s="292" t="str">
        <f ca="1">IF(C1222=$U$4,"Enter smelter details", IF(ISERROR($S1222),"",OFFSET('Smelter Reference List'!$F$4,$S1222-4,0)))</f>
        <v/>
      </c>
      <c r="H1222" s="293" t="str">
        <f ca="1">IF(ISERROR($S1222),"",OFFSET('Smelter Reference List'!$G$4,$S1222-4,0))</f>
        <v/>
      </c>
      <c r="I1222" s="294" t="str">
        <f ca="1">IF(ISERROR($S1222),"",OFFSET('Smelter Reference List'!$H$4,$S1222-4,0))</f>
        <v/>
      </c>
      <c r="J1222" s="294" t="str">
        <f ca="1">IF(ISERROR($S1222),"",OFFSET('Smelter Reference List'!$I$4,$S1222-4,0))</f>
        <v/>
      </c>
      <c r="K1222" s="295"/>
      <c r="L1222" s="295"/>
      <c r="M1222" s="295"/>
      <c r="N1222" s="295"/>
      <c r="O1222" s="295"/>
      <c r="P1222" s="295"/>
      <c r="Q1222" s="296"/>
      <c r="R1222" s="227"/>
      <c r="S1222" s="228" t="e">
        <f>IF(C1222="",NA(),MATCH($B1222&amp;$C1222,'Smelter Reference List'!$J:$J,0))</f>
        <v>#N/A</v>
      </c>
      <c r="T1222" s="229"/>
      <c r="U1222" s="229">
        <f t="shared" ca="1" si="40"/>
        <v>0</v>
      </c>
      <c r="V1222" s="229"/>
      <c r="W1222" s="229"/>
      <c r="Y1222" s="223" t="str">
        <f t="shared" si="41"/>
        <v/>
      </c>
    </row>
    <row r="1223" spans="1:25" s="223" customFormat="1" ht="20.25">
      <c r="A1223" s="291"/>
      <c r="B1223" s="292" t="str">
        <f>IF(LEN(A1223)=0,"",INDEX('Smelter Reference List'!$A:$A,MATCH($A1223,'Smelter Reference List'!$E:$E,0)))</f>
        <v/>
      </c>
      <c r="C1223" s="298" t="str">
        <f>IF(LEN(A1223)=0,"",INDEX('Smelter Reference List'!$C:$C,MATCH($A1223,'Smelter Reference List'!$E:$E,0)))</f>
        <v/>
      </c>
      <c r="D1223" s="292" t="str">
        <f ca="1">IF(ISERROR($S1223),"",OFFSET('Smelter Reference List'!$C$4,$S1223-4,0)&amp;"")</f>
        <v/>
      </c>
      <c r="E1223" s="292" t="str">
        <f ca="1">IF(ISERROR($S1223),"",OFFSET('Smelter Reference List'!$D$4,$S1223-4,0)&amp;"")</f>
        <v/>
      </c>
      <c r="F1223" s="292" t="str">
        <f ca="1">IF(ISERROR($S1223),"",OFFSET('Smelter Reference List'!$E$4,$S1223-4,0))</f>
        <v/>
      </c>
      <c r="G1223" s="292" t="str">
        <f ca="1">IF(C1223=$U$4,"Enter smelter details", IF(ISERROR($S1223),"",OFFSET('Smelter Reference List'!$F$4,$S1223-4,0)))</f>
        <v/>
      </c>
      <c r="H1223" s="293" t="str">
        <f ca="1">IF(ISERROR($S1223),"",OFFSET('Smelter Reference List'!$G$4,$S1223-4,0))</f>
        <v/>
      </c>
      <c r="I1223" s="294" t="str">
        <f ca="1">IF(ISERROR($S1223),"",OFFSET('Smelter Reference List'!$H$4,$S1223-4,0))</f>
        <v/>
      </c>
      <c r="J1223" s="294" t="str">
        <f ca="1">IF(ISERROR($S1223),"",OFFSET('Smelter Reference List'!$I$4,$S1223-4,0))</f>
        <v/>
      </c>
      <c r="K1223" s="295"/>
      <c r="L1223" s="295"/>
      <c r="M1223" s="295"/>
      <c r="N1223" s="295"/>
      <c r="O1223" s="295"/>
      <c r="P1223" s="295"/>
      <c r="Q1223" s="296"/>
      <c r="R1223" s="227"/>
      <c r="S1223" s="228" t="e">
        <f>IF(C1223="",NA(),MATCH($B1223&amp;$C1223,'Smelter Reference List'!$J:$J,0))</f>
        <v>#N/A</v>
      </c>
      <c r="T1223" s="229"/>
      <c r="U1223" s="229">
        <f t="shared" ca="1" si="40"/>
        <v>0</v>
      </c>
      <c r="V1223" s="229"/>
      <c r="W1223" s="229"/>
      <c r="Y1223" s="223" t="str">
        <f t="shared" si="41"/>
        <v/>
      </c>
    </row>
    <row r="1224" spans="1:25" s="223" customFormat="1" ht="20.25">
      <c r="A1224" s="291"/>
      <c r="B1224" s="292" t="str">
        <f>IF(LEN(A1224)=0,"",INDEX('Smelter Reference List'!$A:$A,MATCH($A1224,'Smelter Reference List'!$E:$E,0)))</f>
        <v/>
      </c>
      <c r="C1224" s="298" t="str">
        <f>IF(LEN(A1224)=0,"",INDEX('Smelter Reference List'!$C:$C,MATCH($A1224,'Smelter Reference List'!$E:$E,0)))</f>
        <v/>
      </c>
      <c r="D1224" s="292" t="str">
        <f ca="1">IF(ISERROR($S1224),"",OFFSET('Smelter Reference List'!$C$4,$S1224-4,0)&amp;"")</f>
        <v/>
      </c>
      <c r="E1224" s="292" t="str">
        <f ca="1">IF(ISERROR($S1224),"",OFFSET('Smelter Reference List'!$D$4,$S1224-4,0)&amp;"")</f>
        <v/>
      </c>
      <c r="F1224" s="292" t="str">
        <f ca="1">IF(ISERROR($S1224),"",OFFSET('Smelter Reference List'!$E$4,$S1224-4,0))</f>
        <v/>
      </c>
      <c r="G1224" s="292" t="str">
        <f ca="1">IF(C1224=$U$4,"Enter smelter details", IF(ISERROR($S1224),"",OFFSET('Smelter Reference List'!$F$4,$S1224-4,0)))</f>
        <v/>
      </c>
      <c r="H1224" s="293" t="str">
        <f ca="1">IF(ISERROR($S1224),"",OFFSET('Smelter Reference List'!$G$4,$S1224-4,0))</f>
        <v/>
      </c>
      <c r="I1224" s="294" t="str">
        <f ca="1">IF(ISERROR($S1224),"",OFFSET('Smelter Reference List'!$H$4,$S1224-4,0))</f>
        <v/>
      </c>
      <c r="J1224" s="294" t="str">
        <f ca="1">IF(ISERROR($S1224),"",OFFSET('Smelter Reference List'!$I$4,$S1224-4,0))</f>
        <v/>
      </c>
      <c r="K1224" s="295"/>
      <c r="L1224" s="295"/>
      <c r="M1224" s="295"/>
      <c r="N1224" s="295"/>
      <c r="O1224" s="295"/>
      <c r="P1224" s="295"/>
      <c r="Q1224" s="296"/>
      <c r="R1224" s="227"/>
      <c r="S1224" s="228" t="e">
        <f>IF(C1224="",NA(),MATCH($B1224&amp;$C1224,'Smelter Reference List'!$J:$J,0))</f>
        <v>#N/A</v>
      </c>
      <c r="T1224" s="229"/>
      <c r="U1224" s="229">
        <f t="shared" ca="1" si="40"/>
        <v>0</v>
      </c>
      <c r="V1224" s="229"/>
      <c r="W1224" s="229"/>
      <c r="Y1224" s="223" t="str">
        <f t="shared" si="41"/>
        <v/>
      </c>
    </row>
    <row r="1225" spans="1:25" s="223" customFormat="1" ht="20.25">
      <c r="A1225" s="291"/>
      <c r="B1225" s="292" t="str">
        <f>IF(LEN(A1225)=0,"",INDEX('Smelter Reference List'!$A:$A,MATCH($A1225,'Smelter Reference List'!$E:$E,0)))</f>
        <v/>
      </c>
      <c r="C1225" s="298" t="str">
        <f>IF(LEN(A1225)=0,"",INDEX('Smelter Reference List'!$C:$C,MATCH($A1225,'Smelter Reference List'!$E:$E,0)))</f>
        <v/>
      </c>
      <c r="D1225" s="292" t="str">
        <f ca="1">IF(ISERROR($S1225),"",OFFSET('Smelter Reference List'!$C$4,$S1225-4,0)&amp;"")</f>
        <v/>
      </c>
      <c r="E1225" s="292" t="str">
        <f ca="1">IF(ISERROR($S1225),"",OFFSET('Smelter Reference List'!$D$4,$S1225-4,0)&amp;"")</f>
        <v/>
      </c>
      <c r="F1225" s="292" t="str">
        <f ca="1">IF(ISERROR($S1225),"",OFFSET('Smelter Reference List'!$E$4,$S1225-4,0))</f>
        <v/>
      </c>
      <c r="G1225" s="292" t="str">
        <f ca="1">IF(C1225=$U$4,"Enter smelter details", IF(ISERROR($S1225),"",OFFSET('Smelter Reference List'!$F$4,$S1225-4,0)))</f>
        <v/>
      </c>
      <c r="H1225" s="293" t="str">
        <f ca="1">IF(ISERROR($S1225),"",OFFSET('Smelter Reference List'!$G$4,$S1225-4,0))</f>
        <v/>
      </c>
      <c r="I1225" s="294" t="str">
        <f ca="1">IF(ISERROR($S1225),"",OFFSET('Smelter Reference List'!$H$4,$S1225-4,0))</f>
        <v/>
      </c>
      <c r="J1225" s="294" t="str">
        <f ca="1">IF(ISERROR($S1225),"",OFFSET('Smelter Reference List'!$I$4,$S1225-4,0))</f>
        <v/>
      </c>
      <c r="K1225" s="295"/>
      <c r="L1225" s="295"/>
      <c r="M1225" s="295"/>
      <c r="N1225" s="295"/>
      <c r="O1225" s="295"/>
      <c r="P1225" s="295"/>
      <c r="Q1225" s="296"/>
      <c r="R1225" s="227"/>
      <c r="S1225" s="228" t="e">
        <f>IF(C1225="",NA(),MATCH($B1225&amp;$C1225,'Smelter Reference List'!$J:$J,0))</f>
        <v>#N/A</v>
      </c>
      <c r="T1225" s="229"/>
      <c r="U1225" s="229">
        <f t="shared" ca="1" si="40"/>
        <v>0</v>
      </c>
      <c r="V1225" s="229"/>
      <c r="W1225" s="229"/>
      <c r="Y1225" s="223" t="str">
        <f t="shared" si="41"/>
        <v/>
      </c>
    </row>
    <row r="1226" spans="1:25" s="223" customFormat="1" ht="20.25">
      <c r="A1226" s="291"/>
      <c r="B1226" s="292" t="str">
        <f>IF(LEN(A1226)=0,"",INDEX('Smelter Reference List'!$A:$A,MATCH($A1226,'Smelter Reference List'!$E:$E,0)))</f>
        <v/>
      </c>
      <c r="C1226" s="298" t="str">
        <f>IF(LEN(A1226)=0,"",INDEX('Smelter Reference List'!$C:$C,MATCH($A1226,'Smelter Reference List'!$E:$E,0)))</f>
        <v/>
      </c>
      <c r="D1226" s="292" t="str">
        <f ca="1">IF(ISERROR($S1226),"",OFFSET('Smelter Reference List'!$C$4,$S1226-4,0)&amp;"")</f>
        <v/>
      </c>
      <c r="E1226" s="292" t="str">
        <f ca="1">IF(ISERROR($S1226),"",OFFSET('Smelter Reference List'!$D$4,$S1226-4,0)&amp;"")</f>
        <v/>
      </c>
      <c r="F1226" s="292" t="str">
        <f ca="1">IF(ISERROR($S1226),"",OFFSET('Smelter Reference List'!$E$4,$S1226-4,0))</f>
        <v/>
      </c>
      <c r="G1226" s="292" t="str">
        <f ca="1">IF(C1226=$U$4,"Enter smelter details", IF(ISERROR($S1226),"",OFFSET('Smelter Reference List'!$F$4,$S1226-4,0)))</f>
        <v/>
      </c>
      <c r="H1226" s="293" t="str">
        <f ca="1">IF(ISERROR($S1226),"",OFFSET('Smelter Reference List'!$G$4,$S1226-4,0))</f>
        <v/>
      </c>
      <c r="I1226" s="294" t="str">
        <f ca="1">IF(ISERROR($S1226),"",OFFSET('Smelter Reference List'!$H$4,$S1226-4,0))</f>
        <v/>
      </c>
      <c r="J1226" s="294" t="str">
        <f ca="1">IF(ISERROR($S1226),"",OFFSET('Smelter Reference List'!$I$4,$S1226-4,0))</f>
        <v/>
      </c>
      <c r="K1226" s="295"/>
      <c r="L1226" s="295"/>
      <c r="M1226" s="295"/>
      <c r="N1226" s="295"/>
      <c r="O1226" s="295"/>
      <c r="P1226" s="295"/>
      <c r="Q1226" s="296"/>
      <c r="R1226" s="227"/>
      <c r="S1226" s="228" t="e">
        <f>IF(C1226="",NA(),MATCH($B1226&amp;$C1226,'Smelter Reference List'!$J:$J,0))</f>
        <v>#N/A</v>
      </c>
      <c r="T1226" s="229"/>
      <c r="U1226" s="229">
        <f t="shared" ca="1" si="40"/>
        <v>0</v>
      </c>
      <c r="V1226" s="229"/>
      <c r="W1226" s="229"/>
      <c r="Y1226" s="223" t="str">
        <f t="shared" si="41"/>
        <v/>
      </c>
    </row>
    <row r="1227" spans="1:25" s="223" customFormat="1" ht="20.25">
      <c r="A1227" s="291"/>
      <c r="B1227" s="292" t="str">
        <f>IF(LEN(A1227)=0,"",INDEX('Smelter Reference List'!$A:$A,MATCH($A1227,'Smelter Reference List'!$E:$E,0)))</f>
        <v/>
      </c>
      <c r="C1227" s="298" t="str">
        <f>IF(LEN(A1227)=0,"",INDEX('Smelter Reference List'!$C:$C,MATCH($A1227,'Smelter Reference List'!$E:$E,0)))</f>
        <v/>
      </c>
      <c r="D1227" s="292" t="str">
        <f ca="1">IF(ISERROR($S1227),"",OFFSET('Smelter Reference List'!$C$4,$S1227-4,0)&amp;"")</f>
        <v/>
      </c>
      <c r="E1227" s="292" t="str">
        <f ca="1">IF(ISERROR($S1227),"",OFFSET('Smelter Reference List'!$D$4,$S1227-4,0)&amp;"")</f>
        <v/>
      </c>
      <c r="F1227" s="292" t="str">
        <f ca="1">IF(ISERROR($S1227),"",OFFSET('Smelter Reference List'!$E$4,$S1227-4,0))</f>
        <v/>
      </c>
      <c r="G1227" s="292" t="str">
        <f ca="1">IF(C1227=$U$4,"Enter smelter details", IF(ISERROR($S1227),"",OFFSET('Smelter Reference List'!$F$4,$S1227-4,0)))</f>
        <v/>
      </c>
      <c r="H1227" s="293" t="str">
        <f ca="1">IF(ISERROR($S1227),"",OFFSET('Smelter Reference List'!$G$4,$S1227-4,0))</f>
        <v/>
      </c>
      <c r="I1227" s="294" t="str">
        <f ca="1">IF(ISERROR($S1227),"",OFFSET('Smelter Reference List'!$H$4,$S1227-4,0))</f>
        <v/>
      </c>
      <c r="J1227" s="294" t="str">
        <f ca="1">IF(ISERROR($S1227),"",OFFSET('Smelter Reference List'!$I$4,$S1227-4,0))</f>
        <v/>
      </c>
      <c r="K1227" s="295"/>
      <c r="L1227" s="295"/>
      <c r="M1227" s="295"/>
      <c r="N1227" s="295"/>
      <c r="O1227" s="295"/>
      <c r="P1227" s="295"/>
      <c r="Q1227" s="296"/>
      <c r="R1227" s="227"/>
      <c r="S1227" s="228" t="e">
        <f>IF(C1227="",NA(),MATCH($B1227&amp;$C1227,'Smelter Reference List'!$J:$J,0))</f>
        <v>#N/A</v>
      </c>
      <c r="T1227" s="229"/>
      <c r="U1227" s="229">
        <f t="shared" ca="1" si="40"/>
        <v>0</v>
      </c>
      <c r="V1227" s="229"/>
      <c r="W1227" s="229"/>
      <c r="Y1227" s="223" t="str">
        <f t="shared" si="41"/>
        <v/>
      </c>
    </row>
    <row r="1228" spans="1:25" s="223" customFormat="1" ht="20.25">
      <c r="A1228" s="291"/>
      <c r="B1228" s="292" t="str">
        <f>IF(LEN(A1228)=0,"",INDEX('Smelter Reference List'!$A:$A,MATCH($A1228,'Smelter Reference List'!$E:$E,0)))</f>
        <v/>
      </c>
      <c r="C1228" s="298" t="str">
        <f>IF(LEN(A1228)=0,"",INDEX('Smelter Reference List'!$C:$C,MATCH($A1228,'Smelter Reference List'!$E:$E,0)))</f>
        <v/>
      </c>
      <c r="D1228" s="292" t="str">
        <f ca="1">IF(ISERROR($S1228),"",OFFSET('Smelter Reference List'!$C$4,$S1228-4,0)&amp;"")</f>
        <v/>
      </c>
      <c r="E1228" s="292" t="str">
        <f ca="1">IF(ISERROR($S1228),"",OFFSET('Smelter Reference List'!$D$4,$S1228-4,0)&amp;"")</f>
        <v/>
      </c>
      <c r="F1228" s="292" t="str">
        <f ca="1">IF(ISERROR($S1228),"",OFFSET('Smelter Reference List'!$E$4,$S1228-4,0))</f>
        <v/>
      </c>
      <c r="G1228" s="292" t="str">
        <f ca="1">IF(C1228=$U$4,"Enter smelter details", IF(ISERROR($S1228),"",OFFSET('Smelter Reference List'!$F$4,$S1228-4,0)))</f>
        <v/>
      </c>
      <c r="H1228" s="293" t="str">
        <f ca="1">IF(ISERROR($S1228),"",OFFSET('Smelter Reference List'!$G$4,$S1228-4,0))</f>
        <v/>
      </c>
      <c r="I1228" s="294" t="str">
        <f ca="1">IF(ISERROR($S1228),"",OFFSET('Smelter Reference List'!$H$4,$S1228-4,0))</f>
        <v/>
      </c>
      <c r="J1228" s="294" t="str">
        <f ca="1">IF(ISERROR($S1228),"",OFFSET('Smelter Reference List'!$I$4,$S1228-4,0))</f>
        <v/>
      </c>
      <c r="K1228" s="295"/>
      <c r="L1228" s="295"/>
      <c r="M1228" s="295"/>
      <c r="N1228" s="295"/>
      <c r="O1228" s="295"/>
      <c r="P1228" s="295"/>
      <c r="Q1228" s="296"/>
      <c r="R1228" s="227"/>
      <c r="S1228" s="228" t="e">
        <f>IF(C1228="",NA(),MATCH($B1228&amp;$C1228,'Smelter Reference List'!$J:$J,0))</f>
        <v>#N/A</v>
      </c>
      <c r="T1228" s="229"/>
      <c r="U1228" s="229">
        <f t="shared" ca="1" si="40"/>
        <v>0</v>
      </c>
      <c r="V1228" s="229"/>
      <c r="W1228" s="229"/>
      <c r="Y1228" s="223" t="str">
        <f t="shared" si="41"/>
        <v/>
      </c>
    </row>
    <row r="1229" spans="1:25" s="223" customFormat="1" ht="20.25">
      <c r="A1229" s="291"/>
      <c r="B1229" s="292" t="str">
        <f>IF(LEN(A1229)=0,"",INDEX('Smelter Reference List'!$A:$A,MATCH($A1229,'Smelter Reference List'!$E:$E,0)))</f>
        <v/>
      </c>
      <c r="C1229" s="298" t="str">
        <f>IF(LEN(A1229)=0,"",INDEX('Smelter Reference List'!$C:$C,MATCH($A1229,'Smelter Reference List'!$E:$E,0)))</f>
        <v/>
      </c>
      <c r="D1229" s="292" t="str">
        <f ca="1">IF(ISERROR($S1229),"",OFFSET('Smelter Reference List'!$C$4,$S1229-4,0)&amp;"")</f>
        <v/>
      </c>
      <c r="E1229" s="292" t="str">
        <f ca="1">IF(ISERROR($S1229),"",OFFSET('Smelter Reference List'!$D$4,$S1229-4,0)&amp;"")</f>
        <v/>
      </c>
      <c r="F1229" s="292" t="str">
        <f ca="1">IF(ISERROR($S1229),"",OFFSET('Smelter Reference List'!$E$4,$S1229-4,0))</f>
        <v/>
      </c>
      <c r="G1229" s="292" t="str">
        <f ca="1">IF(C1229=$U$4,"Enter smelter details", IF(ISERROR($S1229),"",OFFSET('Smelter Reference List'!$F$4,$S1229-4,0)))</f>
        <v/>
      </c>
      <c r="H1229" s="293" t="str">
        <f ca="1">IF(ISERROR($S1229),"",OFFSET('Smelter Reference List'!$G$4,$S1229-4,0))</f>
        <v/>
      </c>
      <c r="I1229" s="294" t="str">
        <f ca="1">IF(ISERROR($S1229),"",OFFSET('Smelter Reference List'!$H$4,$S1229-4,0))</f>
        <v/>
      </c>
      <c r="J1229" s="294" t="str">
        <f ca="1">IF(ISERROR($S1229),"",OFFSET('Smelter Reference List'!$I$4,$S1229-4,0))</f>
        <v/>
      </c>
      <c r="K1229" s="295"/>
      <c r="L1229" s="295"/>
      <c r="M1229" s="295"/>
      <c r="N1229" s="295"/>
      <c r="O1229" s="295"/>
      <c r="P1229" s="295"/>
      <c r="Q1229" s="296"/>
      <c r="R1229" s="227"/>
      <c r="S1229" s="228" t="e">
        <f>IF(C1229="",NA(),MATCH($B1229&amp;$C1229,'Smelter Reference List'!$J:$J,0))</f>
        <v>#N/A</v>
      </c>
      <c r="T1229" s="229"/>
      <c r="U1229" s="229">
        <f t="shared" ca="1" si="40"/>
        <v>0</v>
      </c>
      <c r="V1229" s="229"/>
      <c r="W1229" s="229"/>
      <c r="Y1229" s="223" t="str">
        <f t="shared" si="41"/>
        <v/>
      </c>
    </row>
    <row r="1230" spans="1:25" s="223" customFormat="1" ht="20.25">
      <c r="A1230" s="291"/>
      <c r="B1230" s="292" t="str">
        <f>IF(LEN(A1230)=0,"",INDEX('Smelter Reference List'!$A:$A,MATCH($A1230,'Smelter Reference List'!$E:$E,0)))</f>
        <v/>
      </c>
      <c r="C1230" s="298" t="str">
        <f>IF(LEN(A1230)=0,"",INDEX('Smelter Reference List'!$C:$C,MATCH($A1230,'Smelter Reference List'!$E:$E,0)))</f>
        <v/>
      </c>
      <c r="D1230" s="292" t="str">
        <f ca="1">IF(ISERROR($S1230),"",OFFSET('Smelter Reference List'!$C$4,$S1230-4,0)&amp;"")</f>
        <v/>
      </c>
      <c r="E1230" s="292" t="str">
        <f ca="1">IF(ISERROR($S1230),"",OFFSET('Smelter Reference List'!$D$4,$S1230-4,0)&amp;"")</f>
        <v/>
      </c>
      <c r="F1230" s="292" t="str">
        <f ca="1">IF(ISERROR($S1230),"",OFFSET('Smelter Reference List'!$E$4,$S1230-4,0))</f>
        <v/>
      </c>
      <c r="G1230" s="292" t="str">
        <f ca="1">IF(C1230=$U$4,"Enter smelter details", IF(ISERROR($S1230),"",OFFSET('Smelter Reference List'!$F$4,$S1230-4,0)))</f>
        <v/>
      </c>
      <c r="H1230" s="293" t="str">
        <f ca="1">IF(ISERROR($S1230),"",OFFSET('Smelter Reference List'!$G$4,$S1230-4,0))</f>
        <v/>
      </c>
      <c r="I1230" s="294" t="str">
        <f ca="1">IF(ISERROR($S1230),"",OFFSET('Smelter Reference List'!$H$4,$S1230-4,0))</f>
        <v/>
      </c>
      <c r="J1230" s="294" t="str">
        <f ca="1">IF(ISERROR($S1230),"",OFFSET('Smelter Reference List'!$I$4,$S1230-4,0))</f>
        <v/>
      </c>
      <c r="K1230" s="295"/>
      <c r="L1230" s="295"/>
      <c r="M1230" s="295"/>
      <c r="N1230" s="295"/>
      <c r="O1230" s="295"/>
      <c r="P1230" s="295"/>
      <c r="Q1230" s="296"/>
      <c r="R1230" s="227"/>
      <c r="S1230" s="228" t="e">
        <f>IF(C1230="",NA(),MATCH($B1230&amp;$C1230,'Smelter Reference List'!$J:$J,0))</f>
        <v>#N/A</v>
      </c>
      <c r="T1230" s="229"/>
      <c r="U1230" s="229">
        <f t="shared" ca="1" si="40"/>
        <v>0</v>
      </c>
      <c r="V1230" s="229"/>
      <c r="W1230" s="229"/>
      <c r="Y1230" s="223" t="str">
        <f t="shared" si="41"/>
        <v/>
      </c>
    </row>
    <row r="1231" spans="1:25" s="223" customFormat="1" ht="20.25">
      <c r="A1231" s="291"/>
      <c r="B1231" s="292" t="str">
        <f>IF(LEN(A1231)=0,"",INDEX('Smelter Reference List'!$A:$A,MATCH($A1231,'Smelter Reference List'!$E:$E,0)))</f>
        <v/>
      </c>
      <c r="C1231" s="298" t="str">
        <f>IF(LEN(A1231)=0,"",INDEX('Smelter Reference List'!$C:$C,MATCH($A1231,'Smelter Reference List'!$E:$E,0)))</f>
        <v/>
      </c>
      <c r="D1231" s="292" t="str">
        <f ca="1">IF(ISERROR($S1231),"",OFFSET('Smelter Reference List'!$C$4,$S1231-4,0)&amp;"")</f>
        <v/>
      </c>
      <c r="E1231" s="292" t="str">
        <f ca="1">IF(ISERROR($S1231),"",OFFSET('Smelter Reference List'!$D$4,$S1231-4,0)&amp;"")</f>
        <v/>
      </c>
      <c r="F1231" s="292" t="str">
        <f ca="1">IF(ISERROR($S1231),"",OFFSET('Smelter Reference List'!$E$4,$S1231-4,0))</f>
        <v/>
      </c>
      <c r="G1231" s="292" t="str">
        <f ca="1">IF(C1231=$U$4,"Enter smelter details", IF(ISERROR($S1231),"",OFFSET('Smelter Reference List'!$F$4,$S1231-4,0)))</f>
        <v/>
      </c>
      <c r="H1231" s="293" t="str">
        <f ca="1">IF(ISERROR($S1231),"",OFFSET('Smelter Reference List'!$G$4,$S1231-4,0))</f>
        <v/>
      </c>
      <c r="I1231" s="294" t="str">
        <f ca="1">IF(ISERROR($S1231),"",OFFSET('Smelter Reference List'!$H$4,$S1231-4,0))</f>
        <v/>
      </c>
      <c r="J1231" s="294" t="str">
        <f ca="1">IF(ISERROR($S1231),"",OFFSET('Smelter Reference List'!$I$4,$S1231-4,0))</f>
        <v/>
      </c>
      <c r="K1231" s="295"/>
      <c r="L1231" s="295"/>
      <c r="M1231" s="295"/>
      <c r="N1231" s="295"/>
      <c r="O1231" s="295"/>
      <c r="P1231" s="295"/>
      <c r="Q1231" s="296"/>
      <c r="R1231" s="227"/>
      <c r="S1231" s="228" t="e">
        <f>IF(C1231="",NA(),MATCH($B1231&amp;$C1231,'Smelter Reference List'!$J:$J,0))</f>
        <v>#N/A</v>
      </c>
      <c r="T1231" s="229"/>
      <c r="U1231" s="229">
        <f t="shared" ca="1" si="40"/>
        <v>0</v>
      </c>
      <c r="V1231" s="229"/>
      <c r="W1231" s="229"/>
      <c r="Y1231" s="223" t="str">
        <f t="shared" si="41"/>
        <v/>
      </c>
    </row>
    <row r="1232" spans="1:25" s="223" customFormat="1" ht="20.25">
      <c r="A1232" s="291"/>
      <c r="B1232" s="292" t="str">
        <f>IF(LEN(A1232)=0,"",INDEX('Smelter Reference List'!$A:$A,MATCH($A1232,'Smelter Reference List'!$E:$E,0)))</f>
        <v/>
      </c>
      <c r="C1232" s="298" t="str">
        <f>IF(LEN(A1232)=0,"",INDEX('Smelter Reference List'!$C:$C,MATCH($A1232,'Smelter Reference List'!$E:$E,0)))</f>
        <v/>
      </c>
      <c r="D1232" s="292" t="str">
        <f ca="1">IF(ISERROR($S1232),"",OFFSET('Smelter Reference List'!$C$4,$S1232-4,0)&amp;"")</f>
        <v/>
      </c>
      <c r="E1232" s="292" t="str">
        <f ca="1">IF(ISERROR($S1232),"",OFFSET('Smelter Reference List'!$D$4,$S1232-4,0)&amp;"")</f>
        <v/>
      </c>
      <c r="F1232" s="292" t="str">
        <f ca="1">IF(ISERROR($S1232),"",OFFSET('Smelter Reference List'!$E$4,$S1232-4,0))</f>
        <v/>
      </c>
      <c r="G1232" s="292" t="str">
        <f ca="1">IF(C1232=$U$4,"Enter smelter details", IF(ISERROR($S1232),"",OFFSET('Smelter Reference List'!$F$4,$S1232-4,0)))</f>
        <v/>
      </c>
      <c r="H1232" s="293" t="str">
        <f ca="1">IF(ISERROR($S1232),"",OFFSET('Smelter Reference List'!$G$4,$S1232-4,0))</f>
        <v/>
      </c>
      <c r="I1232" s="294" t="str">
        <f ca="1">IF(ISERROR($S1232),"",OFFSET('Smelter Reference List'!$H$4,$S1232-4,0))</f>
        <v/>
      </c>
      <c r="J1232" s="294" t="str">
        <f ca="1">IF(ISERROR($S1232),"",OFFSET('Smelter Reference List'!$I$4,$S1232-4,0))</f>
        <v/>
      </c>
      <c r="K1232" s="295"/>
      <c r="L1232" s="295"/>
      <c r="M1232" s="295"/>
      <c r="N1232" s="295"/>
      <c r="O1232" s="295"/>
      <c r="P1232" s="295"/>
      <c r="Q1232" s="296"/>
      <c r="R1232" s="227"/>
      <c r="S1232" s="228" t="e">
        <f>IF(C1232="",NA(),MATCH($B1232&amp;$C1232,'Smelter Reference List'!$J:$J,0))</f>
        <v>#N/A</v>
      </c>
      <c r="T1232" s="229"/>
      <c r="U1232" s="229">
        <f t="shared" ca="1" si="40"/>
        <v>0</v>
      </c>
      <c r="V1232" s="229"/>
      <c r="W1232" s="229"/>
      <c r="Y1232" s="223" t="str">
        <f t="shared" si="41"/>
        <v/>
      </c>
    </row>
    <row r="1233" spans="1:25" s="223" customFormat="1" ht="20.25">
      <c r="A1233" s="291"/>
      <c r="B1233" s="292" t="str">
        <f>IF(LEN(A1233)=0,"",INDEX('Smelter Reference List'!$A:$A,MATCH($A1233,'Smelter Reference List'!$E:$E,0)))</f>
        <v/>
      </c>
      <c r="C1233" s="298" t="str">
        <f>IF(LEN(A1233)=0,"",INDEX('Smelter Reference List'!$C:$C,MATCH($A1233,'Smelter Reference List'!$E:$E,0)))</f>
        <v/>
      </c>
      <c r="D1233" s="292" t="str">
        <f ca="1">IF(ISERROR($S1233),"",OFFSET('Smelter Reference List'!$C$4,$S1233-4,0)&amp;"")</f>
        <v/>
      </c>
      <c r="E1233" s="292" t="str">
        <f ca="1">IF(ISERROR($S1233),"",OFFSET('Smelter Reference List'!$D$4,$S1233-4,0)&amp;"")</f>
        <v/>
      </c>
      <c r="F1233" s="292" t="str">
        <f ca="1">IF(ISERROR($S1233),"",OFFSET('Smelter Reference List'!$E$4,$S1233-4,0))</f>
        <v/>
      </c>
      <c r="G1233" s="292" t="str">
        <f ca="1">IF(C1233=$U$4,"Enter smelter details", IF(ISERROR($S1233),"",OFFSET('Smelter Reference List'!$F$4,$S1233-4,0)))</f>
        <v/>
      </c>
      <c r="H1233" s="293" t="str">
        <f ca="1">IF(ISERROR($S1233),"",OFFSET('Smelter Reference List'!$G$4,$S1233-4,0))</f>
        <v/>
      </c>
      <c r="I1233" s="294" t="str">
        <f ca="1">IF(ISERROR($S1233),"",OFFSET('Smelter Reference List'!$H$4,$S1233-4,0))</f>
        <v/>
      </c>
      <c r="J1233" s="294" t="str">
        <f ca="1">IF(ISERROR($S1233),"",OFFSET('Smelter Reference List'!$I$4,$S1233-4,0))</f>
        <v/>
      </c>
      <c r="K1233" s="295"/>
      <c r="L1233" s="295"/>
      <c r="M1233" s="295"/>
      <c r="N1233" s="295"/>
      <c r="O1233" s="295"/>
      <c r="P1233" s="295"/>
      <c r="Q1233" s="296"/>
      <c r="R1233" s="227"/>
      <c r="S1233" s="228" t="e">
        <f>IF(C1233="",NA(),MATCH($B1233&amp;$C1233,'Smelter Reference List'!$J:$J,0))</f>
        <v>#N/A</v>
      </c>
      <c r="T1233" s="229"/>
      <c r="U1233" s="229">
        <f t="shared" ca="1" si="40"/>
        <v>0</v>
      </c>
      <c r="V1233" s="229"/>
      <c r="W1233" s="229"/>
      <c r="Y1233" s="223" t="str">
        <f t="shared" si="41"/>
        <v/>
      </c>
    </row>
    <row r="1234" spans="1:25" s="223" customFormat="1" ht="20.25">
      <c r="A1234" s="291"/>
      <c r="B1234" s="292" t="str">
        <f>IF(LEN(A1234)=0,"",INDEX('Smelter Reference List'!$A:$A,MATCH($A1234,'Smelter Reference List'!$E:$E,0)))</f>
        <v/>
      </c>
      <c r="C1234" s="298" t="str">
        <f>IF(LEN(A1234)=0,"",INDEX('Smelter Reference List'!$C:$C,MATCH($A1234,'Smelter Reference List'!$E:$E,0)))</f>
        <v/>
      </c>
      <c r="D1234" s="292" t="str">
        <f ca="1">IF(ISERROR($S1234),"",OFFSET('Smelter Reference List'!$C$4,$S1234-4,0)&amp;"")</f>
        <v/>
      </c>
      <c r="E1234" s="292" t="str">
        <f ca="1">IF(ISERROR($S1234),"",OFFSET('Smelter Reference List'!$D$4,$S1234-4,0)&amp;"")</f>
        <v/>
      </c>
      <c r="F1234" s="292" t="str">
        <f ca="1">IF(ISERROR($S1234),"",OFFSET('Smelter Reference List'!$E$4,$S1234-4,0))</f>
        <v/>
      </c>
      <c r="G1234" s="292" t="str">
        <f ca="1">IF(C1234=$U$4,"Enter smelter details", IF(ISERROR($S1234),"",OFFSET('Smelter Reference List'!$F$4,$S1234-4,0)))</f>
        <v/>
      </c>
      <c r="H1234" s="293" t="str">
        <f ca="1">IF(ISERROR($S1234),"",OFFSET('Smelter Reference List'!$G$4,$S1234-4,0))</f>
        <v/>
      </c>
      <c r="I1234" s="294" t="str">
        <f ca="1">IF(ISERROR($S1234),"",OFFSET('Smelter Reference List'!$H$4,$S1234-4,0))</f>
        <v/>
      </c>
      <c r="J1234" s="294" t="str">
        <f ca="1">IF(ISERROR($S1234),"",OFFSET('Smelter Reference List'!$I$4,$S1234-4,0))</f>
        <v/>
      </c>
      <c r="K1234" s="295"/>
      <c r="L1234" s="295"/>
      <c r="M1234" s="295"/>
      <c r="N1234" s="295"/>
      <c r="O1234" s="295"/>
      <c r="P1234" s="295"/>
      <c r="Q1234" s="296"/>
      <c r="R1234" s="227"/>
      <c r="S1234" s="228" t="e">
        <f>IF(C1234="",NA(),MATCH($B1234&amp;$C1234,'Smelter Reference List'!$J:$J,0))</f>
        <v>#N/A</v>
      </c>
      <c r="T1234" s="229"/>
      <c r="U1234" s="229">
        <f t="shared" ca="1" si="40"/>
        <v>0</v>
      </c>
      <c r="V1234" s="229"/>
      <c r="W1234" s="229"/>
      <c r="Y1234" s="223" t="str">
        <f t="shared" si="41"/>
        <v/>
      </c>
    </row>
    <row r="1235" spans="1:25" s="223" customFormat="1" ht="20.25">
      <c r="A1235" s="291"/>
      <c r="B1235" s="292" t="str">
        <f>IF(LEN(A1235)=0,"",INDEX('Smelter Reference List'!$A:$A,MATCH($A1235,'Smelter Reference List'!$E:$E,0)))</f>
        <v/>
      </c>
      <c r="C1235" s="298" t="str">
        <f>IF(LEN(A1235)=0,"",INDEX('Smelter Reference List'!$C:$C,MATCH($A1235,'Smelter Reference List'!$E:$E,0)))</f>
        <v/>
      </c>
      <c r="D1235" s="292" t="str">
        <f ca="1">IF(ISERROR($S1235),"",OFFSET('Smelter Reference List'!$C$4,$S1235-4,0)&amp;"")</f>
        <v/>
      </c>
      <c r="E1235" s="292" t="str">
        <f ca="1">IF(ISERROR($S1235),"",OFFSET('Smelter Reference List'!$D$4,$S1235-4,0)&amp;"")</f>
        <v/>
      </c>
      <c r="F1235" s="292" t="str">
        <f ca="1">IF(ISERROR($S1235),"",OFFSET('Smelter Reference List'!$E$4,$S1235-4,0))</f>
        <v/>
      </c>
      <c r="G1235" s="292" t="str">
        <f ca="1">IF(C1235=$U$4,"Enter smelter details", IF(ISERROR($S1235),"",OFFSET('Smelter Reference List'!$F$4,$S1235-4,0)))</f>
        <v/>
      </c>
      <c r="H1235" s="293" t="str">
        <f ca="1">IF(ISERROR($S1235),"",OFFSET('Smelter Reference List'!$G$4,$S1235-4,0))</f>
        <v/>
      </c>
      <c r="I1235" s="294" t="str">
        <f ca="1">IF(ISERROR($S1235),"",OFFSET('Smelter Reference List'!$H$4,$S1235-4,0))</f>
        <v/>
      </c>
      <c r="J1235" s="294" t="str">
        <f ca="1">IF(ISERROR($S1235),"",OFFSET('Smelter Reference List'!$I$4,$S1235-4,0))</f>
        <v/>
      </c>
      <c r="K1235" s="295"/>
      <c r="L1235" s="295"/>
      <c r="M1235" s="295"/>
      <c r="N1235" s="295"/>
      <c r="O1235" s="295"/>
      <c r="P1235" s="295"/>
      <c r="Q1235" s="296"/>
      <c r="R1235" s="227"/>
      <c r="S1235" s="228" t="e">
        <f>IF(C1235="",NA(),MATCH($B1235&amp;$C1235,'Smelter Reference List'!$J:$J,0))</f>
        <v>#N/A</v>
      </c>
      <c r="T1235" s="229"/>
      <c r="U1235" s="229">
        <f t="shared" ca="1" si="40"/>
        <v>0</v>
      </c>
      <c r="V1235" s="229"/>
      <c r="W1235" s="229"/>
      <c r="Y1235" s="223" t="str">
        <f t="shared" si="41"/>
        <v/>
      </c>
    </row>
    <row r="1236" spans="1:25" s="223" customFormat="1" ht="20.25">
      <c r="A1236" s="291"/>
      <c r="B1236" s="292" t="str">
        <f>IF(LEN(A1236)=0,"",INDEX('Smelter Reference List'!$A:$A,MATCH($A1236,'Smelter Reference List'!$E:$E,0)))</f>
        <v/>
      </c>
      <c r="C1236" s="298" t="str">
        <f>IF(LEN(A1236)=0,"",INDEX('Smelter Reference List'!$C:$C,MATCH($A1236,'Smelter Reference List'!$E:$E,0)))</f>
        <v/>
      </c>
      <c r="D1236" s="292" t="str">
        <f ca="1">IF(ISERROR($S1236),"",OFFSET('Smelter Reference List'!$C$4,$S1236-4,0)&amp;"")</f>
        <v/>
      </c>
      <c r="E1236" s="292" t="str">
        <f ca="1">IF(ISERROR($S1236),"",OFFSET('Smelter Reference List'!$D$4,$S1236-4,0)&amp;"")</f>
        <v/>
      </c>
      <c r="F1236" s="292" t="str">
        <f ca="1">IF(ISERROR($S1236),"",OFFSET('Smelter Reference List'!$E$4,$S1236-4,0))</f>
        <v/>
      </c>
      <c r="G1236" s="292" t="str">
        <f ca="1">IF(C1236=$U$4,"Enter smelter details", IF(ISERROR($S1236),"",OFFSET('Smelter Reference List'!$F$4,$S1236-4,0)))</f>
        <v/>
      </c>
      <c r="H1236" s="293" t="str">
        <f ca="1">IF(ISERROR($S1236),"",OFFSET('Smelter Reference List'!$G$4,$S1236-4,0))</f>
        <v/>
      </c>
      <c r="I1236" s="294" t="str">
        <f ca="1">IF(ISERROR($S1236),"",OFFSET('Smelter Reference List'!$H$4,$S1236-4,0))</f>
        <v/>
      </c>
      <c r="J1236" s="294" t="str">
        <f ca="1">IF(ISERROR($S1236),"",OFFSET('Smelter Reference List'!$I$4,$S1236-4,0))</f>
        <v/>
      </c>
      <c r="K1236" s="295"/>
      <c r="L1236" s="295"/>
      <c r="M1236" s="295"/>
      <c r="N1236" s="295"/>
      <c r="O1236" s="295"/>
      <c r="P1236" s="295"/>
      <c r="Q1236" s="296"/>
      <c r="R1236" s="227"/>
      <c r="S1236" s="228" t="e">
        <f>IF(C1236="",NA(),MATCH($B1236&amp;$C1236,'Smelter Reference List'!$J:$J,0))</f>
        <v>#N/A</v>
      </c>
      <c r="T1236" s="229"/>
      <c r="U1236" s="229">
        <f t="shared" ca="1" si="40"/>
        <v>0</v>
      </c>
      <c r="V1236" s="229"/>
      <c r="W1236" s="229"/>
      <c r="Y1236" s="223" t="str">
        <f t="shared" si="41"/>
        <v/>
      </c>
    </row>
    <row r="1237" spans="1:25" s="223" customFormat="1" ht="20.25">
      <c r="A1237" s="291"/>
      <c r="B1237" s="292" t="str">
        <f>IF(LEN(A1237)=0,"",INDEX('Smelter Reference List'!$A:$A,MATCH($A1237,'Smelter Reference List'!$E:$E,0)))</f>
        <v/>
      </c>
      <c r="C1237" s="298" t="str">
        <f>IF(LEN(A1237)=0,"",INDEX('Smelter Reference List'!$C:$C,MATCH($A1237,'Smelter Reference List'!$E:$E,0)))</f>
        <v/>
      </c>
      <c r="D1237" s="292" t="str">
        <f ca="1">IF(ISERROR($S1237),"",OFFSET('Smelter Reference List'!$C$4,$S1237-4,0)&amp;"")</f>
        <v/>
      </c>
      <c r="E1237" s="292" t="str">
        <f ca="1">IF(ISERROR($S1237),"",OFFSET('Smelter Reference List'!$D$4,$S1237-4,0)&amp;"")</f>
        <v/>
      </c>
      <c r="F1237" s="292" t="str">
        <f ca="1">IF(ISERROR($S1237),"",OFFSET('Smelter Reference List'!$E$4,$S1237-4,0))</f>
        <v/>
      </c>
      <c r="G1237" s="292" t="str">
        <f ca="1">IF(C1237=$U$4,"Enter smelter details", IF(ISERROR($S1237),"",OFFSET('Smelter Reference List'!$F$4,$S1237-4,0)))</f>
        <v/>
      </c>
      <c r="H1237" s="293" t="str">
        <f ca="1">IF(ISERROR($S1237),"",OFFSET('Smelter Reference List'!$G$4,$S1237-4,0))</f>
        <v/>
      </c>
      <c r="I1237" s="294" t="str">
        <f ca="1">IF(ISERROR($S1237),"",OFFSET('Smelter Reference List'!$H$4,$S1237-4,0))</f>
        <v/>
      </c>
      <c r="J1237" s="294" t="str">
        <f ca="1">IF(ISERROR($S1237),"",OFFSET('Smelter Reference List'!$I$4,$S1237-4,0))</f>
        <v/>
      </c>
      <c r="K1237" s="295"/>
      <c r="L1237" s="295"/>
      <c r="M1237" s="295"/>
      <c r="N1237" s="295"/>
      <c r="O1237" s="295"/>
      <c r="P1237" s="295"/>
      <c r="Q1237" s="296"/>
      <c r="R1237" s="227"/>
      <c r="S1237" s="228" t="e">
        <f>IF(C1237="",NA(),MATCH($B1237&amp;$C1237,'Smelter Reference List'!$J:$J,0))</f>
        <v>#N/A</v>
      </c>
      <c r="T1237" s="229"/>
      <c r="U1237" s="229">
        <f t="shared" ca="1" si="40"/>
        <v>0</v>
      </c>
      <c r="V1237" s="229"/>
      <c r="W1237" s="229"/>
      <c r="Y1237" s="223" t="str">
        <f t="shared" si="41"/>
        <v/>
      </c>
    </row>
    <row r="1238" spans="1:25" s="223" customFormat="1" ht="20.25">
      <c r="A1238" s="291"/>
      <c r="B1238" s="292" t="str">
        <f>IF(LEN(A1238)=0,"",INDEX('Smelter Reference List'!$A:$A,MATCH($A1238,'Smelter Reference List'!$E:$E,0)))</f>
        <v/>
      </c>
      <c r="C1238" s="298" t="str">
        <f>IF(LEN(A1238)=0,"",INDEX('Smelter Reference List'!$C:$C,MATCH($A1238,'Smelter Reference List'!$E:$E,0)))</f>
        <v/>
      </c>
      <c r="D1238" s="292" t="str">
        <f ca="1">IF(ISERROR($S1238),"",OFFSET('Smelter Reference List'!$C$4,$S1238-4,0)&amp;"")</f>
        <v/>
      </c>
      <c r="E1238" s="292" t="str">
        <f ca="1">IF(ISERROR($S1238),"",OFFSET('Smelter Reference List'!$D$4,$S1238-4,0)&amp;"")</f>
        <v/>
      </c>
      <c r="F1238" s="292" t="str">
        <f ca="1">IF(ISERROR($S1238),"",OFFSET('Smelter Reference List'!$E$4,$S1238-4,0))</f>
        <v/>
      </c>
      <c r="G1238" s="292" t="str">
        <f ca="1">IF(C1238=$U$4,"Enter smelter details", IF(ISERROR($S1238),"",OFFSET('Smelter Reference List'!$F$4,$S1238-4,0)))</f>
        <v/>
      </c>
      <c r="H1238" s="293" t="str">
        <f ca="1">IF(ISERROR($S1238),"",OFFSET('Smelter Reference List'!$G$4,$S1238-4,0))</f>
        <v/>
      </c>
      <c r="I1238" s="294" t="str">
        <f ca="1">IF(ISERROR($S1238),"",OFFSET('Smelter Reference List'!$H$4,$S1238-4,0))</f>
        <v/>
      </c>
      <c r="J1238" s="294" t="str">
        <f ca="1">IF(ISERROR($S1238),"",OFFSET('Smelter Reference List'!$I$4,$S1238-4,0))</f>
        <v/>
      </c>
      <c r="K1238" s="295"/>
      <c r="L1238" s="295"/>
      <c r="M1238" s="295"/>
      <c r="N1238" s="295"/>
      <c r="O1238" s="295"/>
      <c r="P1238" s="295"/>
      <c r="Q1238" s="296"/>
      <c r="R1238" s="227"/>
      <c r="S1238" s="228" t="e">
        <f>IF(C1238="",NA(),MATCH($B1238&amp;$C1238,'Smelter Reference List'!$J:$J,0))</f>
        <v>#N/A</v>
      </c>
      <c r="T1238" s="229"/>
      <c r="U1238" s="229">
        <f t="shared" ca="1" si="40"/>
        <v>0</v>
      </c>
      <c r="V1238" s="229"/>
      <c r="W1238" s="229"/>
      <c r="Y1238" s="223" t="str">
        <f t="shared" si="41"/>
        <v/>
      </c>
    </row>
    <row r="1239" spans="1:25" s="223" customFormat="1" ht="20.25">
      <c r="A1239" s="291"/>
      <c r="B1239" s="292" t="str">
        <f>IF(LEN(A1239)=0,"",INDEX('Smelter Reference List'!$A:$A,MATCH($A1239,'Smelter Reference List'!$E:$E,0)))</f>
        <v/>
      </c>
      <c r="C1239" s="298" t="str">
        <f>IF(LEN(A1239)=0,"",INDEX('Smelter Reference List'!$C:$C,MATCH($A1239,'Smelter Reference List'!$E:$E,0)))</f>
        <v/>
      </c>
      <c r="D1239" s="292" t="str">
        <f ca="1">IF(ISERROR($S1239),"",OFFSET('Smelter Reference List'!$C$4,$S1239-4,0)&amp;"")</f>
        <v/>
      </c>
      <c r="E1239" s="292" t="str">
        <f ca="1">IF(ISERROR($S1239),"",OFFSET('Smelter Reference List'!$D$4,$S1239-4,0)&amp;"")</f>
        <v/>
      </c>
      <c r="F1239" s="292" t="str">
        <f ca="1">IF(ISERROR($S1239),"",OFFSET('Smelter Reference List'!$E$4,$S1239-4,0))</f>
        <v/>
      </c>
      <c r="G1239" s="292" t="str">
        <f ca="1">IF(C1239=$U$4,"Enter smelter details", IF(ISERROR($S1239),"",OFFSET('Smelter Reference List'!$F$4,$S1239-4,0)))</f>
        <v/>
      </c>
      <c r="H1239" s="293" t="str">
        <f ca="1">IF(ISERROR($S1239),"",OFFSET('Smelter Reference List'!$G$4,$S1239-4,0))</f>
        <v/>
      </c>
      <c r="I1239" s="294" t="str">
        <f ca="1">IF(ISERROR($S1239),"",OFFSET('Smelter Reference List'!$H$4,$S1239-4,0))</f>
        <v/>
      </c>
      <c r="J1239" s="294" t="str">
        <f ca="1">IF(ISERROR($S1239),"",OFFSET('Smelter Reference List'!$I$4,$S1239-4,0))</f>
        <v/>
      </c>
      <c r="K1239" s="295"/>
      <c r="L1239" s="295"/>
      <c r="M1239" s="295"/>
      <c r="N1239" s="295"/>
      <c r="O1239" s="295"/>
      <c r="P1239" s="295"/>
      <c r="Q1239" s="296"/>
      <c r="R1239" s="227"/>
      <c r="S1239" s="228" t="e">
        <f>IF(C1239="",NA(),MATCH($B1239&amp;$C1239,'Smelter Reference List'!$J:$J,0))</f>
        <v>#N/A</v>
      </c>
      <c r="T1239" s="229"/>
      <c r="U1239" s="229">
        <f t="shared" ca="1" si="40"/>
        <v>0</v>
      </c>
      <c r="V1239" s="229"/>
      <c r="W1239" s="229"/>
      <c r="Y1239" s="223" t="str">
        <f t="shared" si="41"/>
        <v/>
      </c>
    </row>
    <row r="1240" spans="1:25" s="223" customFormat="1" ht="20.25">
      <c r="A1240" s="291"/>
      <c r="B1240" s="292" t="str">
        <f>IF(LEN(A1240)=0,"",INDEX('Smelter Reference List'!$A:$A,MATCH($A1240,'Smelter Reference List'!$E:$E,0)))</f>
        <v/>
      </c>
      <c r="C1240" s="298" t="str">
        <f>IF(LEN(A1240)=0,"",INDEX('Smelter Reference List'!$C:$C,MATCH($A1240,'Smelter Reference List'!$E:$E,0)))</f>
        <v/>
      </c>
      <c r="D1240" s="292" t="str">
        <f ca="1">IF(ISERROR($S1240),"",OFFSET('Smelter Reference List'!$C$4,$S1240-4,0)&amp;"")</f>
        <v/>
      </c>
      <c r="E1240" s="292" t="str">
        <f ca="1">IF(ISERROR($S1240),"",OFFSET('Smelter Reference List'!$D$4,$S1240-4,0)&amp;"")</f>
        <v/>
      </c>
      <c r="F1240" s="292" t="str">
        <f ca="1">IF(ISERROR($S1240),"",OFFSET('Smelter Reference List'!$E$4,$S1240-4,0))</f>
        <v/>
      </c>
      <c r="G1240" s="292" t="str">
        <f ca="1">IF(C1240=$U$4,"Enter smelter details", IF(ISERROR($S1240),"",OFFSET('Smelter Reference List'!$F$4,$S1240-4,0)))</f>
        <v/>
      </c>
      <c r="H1240" s="293" t="str">
        <f ca="1">IF(ISERROR($S1240),"",OFFSET('Smelter Reference List'!$G$4,$S1240-4,0))</f>
        <v/>
      </c>
      <c r="I1240" s="294" t="str">
        <f ca="1">IF(ISERROR($S1240),"",OFFSET('Smelter Reference List'!$H$4,$S1240-4,0))</f>
        <v/>
      </c>
      <c r="J1240" s="294" t="str">
        <f ca="1">IF(ISERROR($S1240),"",OFFSET('Smelter Reference List'!$I$4,$S1240-4,0))</f>
        <v/>
      </c>
      <c r="K1240" s="295"/>
      <c r="L1240" s="295"/>
      <c r="M1240" s="295"/>
      <c r="N1240" s="295"/>
      <c r="O1240" s="295"/>
      <c r="P1240" s="295"/>
      <c r="Q1240" s="296"/>
      <c r="R1240" s="227"/>
      <c r="S1240" s="228" t="e">
        <f>IF(C1240="",NA(),MATCH($B1240&amp;$C1240,'Smelter Reference List'!$J:$J,0))</f>
        <v>#N/A</v>
      </c>
      <c r="T1240" s="229"/>
      <c r="U1240" s="229">
        <f t="shared" ca="1" si="40"/>
        <v>0</v>
      </c>
      <c r="V1240" s="229"/>
      <c r="W1240" s="229"/>
      <c r="Y1240" s="223" t="str">
        <f t="shared" si="41"/>
        <v/>
      </c>
    </row>
    <row r="1241" spans="1:25" s="223" customFormat="1" ht="20.25">
      <c r="A1241" s="291"/>
      <c r="B1241" s="292" t="str">
        <f>IF(LEN(A1241)=0,"",INDEX('Smelter Reference List'!$A:$A,MATCH($A1241,'Smelter Reference List'!$E:$E,0)))</f>
        <v/>
      </c>
      <c r="C1241" s="298" t="str">
        <f>IF(LEN(A1241)=0,"",INDEX('Smelter Reference List'!$C:$C,MATCH($A1241,'Smelter Reference List'!$E:$E,0)))</f>
        <v/>
      </c>
      <c r="D1241" s="292" t="str">
        <f ca="1">IF(ISERROR($S1241),"",OFFSET('Smelter Reference List'!$C$4,$S1241-4,0)&amp;"")</f>
        <v/>
      </c>
      <c r="E1241" s="292" t="str">
        <f ca="1">IF(ISERROR($S1241),"",OFFSET('Smelter Reference List'!$D$4,$S1241-4,0)&amp;"")</f>
        <v/>
      </c>
      <c r="F1241" s="292" t="str">
        <f ca="1">IF(ISERROR($S1241),"",OFFSET('Smelter Reference List'!$E$4,$S1241-4,0))</f>
        <v/>
      </c>
      <c r="G1241" s="292" t="str">
        <f ca="1">IF(C1241=$U$4,"Enter smelter details", IF(ISERROR($S1241),"",OFFSET('Smelter Reference List'!$F$4,$S1241-4,0)))</f>
        <v/>
      </c>
      <c r="H1241" s="293" t="str">
        <f ca="1">IF(ISERROR($S1241),"",OFFSET('Smelter Reference List'!$G$4,$S1241-4,0))</f>
        <v/>
      </c>
      <c r="I1241" s="294" t="str">
        <f ca="1">IF(ISERROR($S1241),"",OFFSET('Smelter Reference List'!$H$4,$S1241-4,0))</f>
        <v/>
      </c>
      <c r="J1241" s="294" t="str">
        <f ca="1">IF(ISERROR($S1241),"",OFFSET('Smelter Reference List'!$I$4,$S1241-4,0))</f>
        <v/>
      </c>
      <c r="K1241" s="295"/>
      <c r="L1241" s="295"/>
      <c r="M1241" s="295"/>
      <c r="N1241" s="295"/>
      <c r="O1241" s="295"/>
      <c r="P1241" s="295"/>
      <c r="Q1241" s="296"/>
      <c r="R1241" s="227"/>
      <c r="S1241" s="228" t="e">
        <f>IF(C1241="",NA(),MATCH($B1241&amp;$C1241,'Smelter Reference List'!$J:$J,0))</f>
        <v>#N/A</v>
      </c>
      <c r="T1241" s="229"/>
      <c r="U1241" s="229">
        <f t="shared" ca="1" si="40"/>
        <v>0</v>
      </c>
      <c r="V1241" s="229"/>
      <c r="W1241" s="229"/>
      <c r="Y1241" s="223" t="str">
        <f t="shared" si="41"/>
        <v/>
      </c>
    </row>
    <row r="1242" spans="1:25" s="223" customFormat="1" ht="20.25">
      <c r="A1242" s="291"/>
      <c r="B1242" s="292" t="str">
        <f>IF(LEN(A1242)=0,"",INDEX('Smelter Reference List'!$A:$A,MATCH($A1242,'Smelter Reference List'!$E:$E,0)))</f>
        <v/>
      </c>
      <c r="C1242" s="298" t="str">
        <f>IF(LEN(A1242)=0,"",INDEX('Smelter Reference List'!$C:$C,MATCH($A1242,'Smelter Reference List'!$E:$E,0)))</f>
        <v/>
      </c>
      <c r="D1242" s="292" t="str">
        <f ca="1">IF(ISERROR($S1242),"",OFFSET('Smelter Reference List'!$C$4,$S1242-4,0)&amp;"")</f>
        <v/>
      </c>
      <c r="E1242" s="292" t="str">
        <f ca="1">IF(ISERROR($S1242),"",OFFSET('Smelter Reference List'!$D$4,$S1242-4,0)&amp;"")</f>
        <v/>
      </c>
      <c r="F1242" s="292" t="str">
        <f ca="1">IF(ISERROR($S1242),"",OFFSET('Smelter Reference List'!$E$4,$S1242-4,0))</f>
        <v/>
      </c>
      <c r="G1242" s="292" t="str">
        <f ca="1">IF(C1242=$U$4,"Enter smelter details", IF(ISERROR($S1242),"",OFFSET('Smelter Reference List'!$F$4,$S1242-4,0)))</f>
        <v/>
      </c>
      <c r="H1242" s="293" t="str">
        <f ca="1">IF(ISERROR($S1242),"",OFFSET('Smelter Reference List'!$G$4,$S1242-4,0))</f>
        <v/>
      </c>
      <c r="I1242" s="294" t="str">
        <f ca="1">IF(ISERROR($S1242),"",OFFSET('Smelter Reference List'!$H$4,$S1242-4,0))</f>
        <v/>
      </c>
      <c r="J1242" s="294" t="str">
        <f ca="1">IF(ISERROR($S1242),"",OFFSET('Smelter Reference List'!$I$4,$S1242-4,0))</f>
        <v/>
      </c>
      <c r="K1242" s="295"/>
      <c r="L1242" s="295"/>
      <c r="M1242" s="295"/>
      <c r="N1242" s="295"/>
      <c r="O1242" s="295"/>
      <c r="P1242" s="295"/>
      <c r="Q1242" s="296"/>
      <c r="R1242" s="227"/>
      <c r="S1242" s="228" t="e">
        <f>IF(C1242="",NA(),MATCH($B1242&amp;$C1242,'Smelter Reference List'!$J:$J,0))</f>
        <v>#N/A</v>
      </c>
      <c r="T1242" s="229"/>
      <c r="U1242" s="229">
        <f t="shared" ca="1" si="40"/>
        <v>0</v>
      </c>
      <c r="V1242" s="229"/>
      <c r="W1242" s="229"/>
      <c r="Y1242" s="223" t="str">
        <f t="shared" si="41"/>
        <v/>
      </c>
    </row>
    <row r="1243" spans="1:25" s="223" customFormat="1" ht="20.25">
      <c r="A1243" s="291"/>
      <c r="B1243" s="292" t="str">
        <f>IF(LEN(A1243)=0,"",INDEX('Smelter Reference List'!$A:$A,MATCH($A1243,'Smelter Reference List'!$E:$E,0)))</f>
        <v/>
      </c>
      <c r="C1243" s="298" t="str">
        <f>IF(LEN(A1243)=0,"",INDEX('Smelter Reference List'!$C:$C,MATCH($A1243,'Smelter Reference List'!$E:$E,0)))</f>
        <v/>
      </c>
      <c r="D1243" s="292" t="str">
        <f ca="1">IF(ISERROR($S1243),"",OFFSET('Smelter Reference List'!$C$4,$S1243-4,0)&amp;"")</f>
        <v/>
      </c>
      <c r="E1243" s="292" t="str">
        <f ca="1">IF(ISERROR($S1243),"",OFFSET('Smelter Reference List'!$D$4,$S1243-4,0)&amp;"")</f>
        <v/>
      </c>
      <c r="F1243" s="292" t="str">
        <f ca="1">IF(ISERROR($S1243),"",OFFSET('Smelter Reference List'!$E$4,$S1243-4,0))</f>
        <v/>
      </c>
      <c r="G1243" s="292" t="str">
        <f ca="1">IF(C1243=$U$4,"Enter smelter details", IF(ISERROR($S1243),"",OFFSET('Smelter Reference List'!$F$4,$S1243-4,0)))</f>
        <v/>
      </c>
      <c r="H1243" s="293" t="str">
        <f ca="1">IF(ISERROR($S1243),"",OFFSET('Smelter Reference List'!$G$4,$S1243-4,0))</f>
        <v/>
      </c>
      <c r="I1243" s="294" t="str">
        <f ca="1">IF(ISERROR($S1243),"",OFFSET('Smelter Reference List'!$H$4,$S1243-4,0))</f>
        <v/>
      </c>
      <c r="J1243" s="294" t="str">
        <f ca="1">IF(ISERROR($S1243),"",OFFSET('Smelter Reference List'!$I$4,$S1243-4,0))</f>
        <v/>
      </c>
      <c r="K1243" s="295"/>
      <c r="L1243" s="295"/>
      <c r="M1243" s="295"/>
      <c r="N1243" s="295"/>
      <c r="O1243" s="295"/>
      <c r="P1243" s="295"/>
      <c r="Q1243" s="296"/>
      <c r="R1243" s="227"/>
      <c r="S1243" s="228" t="e">
        <f>IF(C1243="",NA(),MATCH($B1243&amp;$C1243,'Smelter Reference List'!$J:$J,0))</f>
        <v>#N/A</v>
      </c>
      <c r="T1243" s="229"/>
      <c r="U1243" s="229">
        <f t="shared" ca="1" si="40"/>
        <v>0</v>
      </c>
      <c r="V1243" s="229"/>
      <c r="W1243" s="229"/>
      <c r="Y1243" s="223" t="str">
        <f t="shared" si="41"/>
        <v/>
      </c>
    </row>
    <row r="1244" spans="1:25" s="223" customFormat="1" ht="20.25">
      <c r="A1244" s="291"/>
      <c r="B1244" s="292" t="str">
        <f>IF(LEN(A1244)=0,"",INDEX('Smelter Reference List'!$A:$A,MATCH($A1244,'Smelter Reference List'!$E:$E,0)))</f>
        <v/>
      </c>
      <c r="C1244" s="298" t="str">
        <f>IF(LEN(A1244)=0,"",INDEX('Smelter Reference List'!$C:$C,MATCH($A1244,'Smelter Reference List'!$E:$E,0)))</f>
        <v/>
      </c>
      <c r="D1244" s="292" t="str">
        <f ca="1">IF(ISERROR($S1244),"",OFFSET('Smelter Reference List'!$C$4,$S1244-4,0)&amp;"")</f>
        <v/>
      </c>
      <c r="E1244" s="292" t="str">
        <f ca="1">IF(ISERROR($S1244),"",OFFSET('Smelter Reference List'!$D$4,$S1244-4,0)&amp;"")</f>
        <v/>
      </c>
      <c r="F1244" s="292" t="str">
        <f ca="1">IF(ISERROR($S1244),"",OFFSET('Smelter Reference List'!$E$4,$S1244-4,0))</f>
        <v/>
      </c>
      <c r="G1244" s="292" t="str">
        <f ca="1">IF(C1244=$U$4,"Enter smelter details", IF(ISERROR($S1244),"",OFFSET('Smelter Reference List'!$F$4,$S1244-4,0)))</f>
        <v/>
      </c>
      <c r="H1244" s="293" t="str">
        <f ca="1">IF(ISERROR($S1244),"",OFFSET('Smelter Reference List'!$G$4,$S1244-4,0))</f>
        <v/>
      </c>
      <c r="I1244" s="294" t="str">
        <f ca="1">IF(ISERROR($S1244),"",OFFSET('Smelter Reference List'!$H$4,$S1244-4,0))</f>
        <v/>
      </c>
      <c r="J1244" s="294" t="str">
        <f ca="1">IF(ISERROR($S1244),"",OFFSET('Smelter Reference List'!$I$4,$S1244-4,0))</f>
        <v/>
      </c>
      <c r="K1244" s="295"/>
      <c r="L1244" s="295"/>
      <c r="M1244" s="295"/>
      <c r="N1244" s="295"/>
      <c r="O1244" s="295"/>
      <c r="P1244" s="295"/>
      <c r="Q1244" s="296"/>
      <c r="R1244" s="227"/>
      <c r="S1244" s="228" t="e">
        <f>IF(C1244="",NA(),MATCH($B1244&amp;$C1244,'Smelter Reference List'!$J:$J,0))</f>
        <v>#N/A</v>
      </c>
      <c r="T1244" s="229"/>
      <c r="U1244" s="229">
        <f t="shared" ca="1" si="40"/>
        <v>0</v>
      </c>
      <c r="V1244" s="229"/>
      <c r="W1244" s="229"/>
      <c r="Y1244" s="223" t="str">
        <f t="shared" si="41"/>
        <v/>
      </c>
    </row>
    <row r="1245" spans="1:25" s="223" customFormat="1" ht="20.25">
      <c r="A1245" s="291"/>
      <c r="B1245" s="292" t="str">
        <f>IF(LEN(A1245)=0,"",INDEX('Smelter Reference List'!$A:$A,MATCH($A1245,'Smelter Reference List'!$E:$E,0)))</f>
        <v/>
      </c>
      <c r="C1245" s="298" t="str">
        <f>IF(LEN(A1245)=0,"",INDEX('Smelter Reference List'!$C:$C,MATCH($A1245,'Smelter Reference List'!$E:$E,0)))</f>
        <v/>
      </c>
      <c r="D1245" s="292" t="str">
        <f ca="1">IF(ISERROR($S1245),"",OFFSET('Smelter Reference List'!$C$4,$S1245-4,0)&amp;"")</f>
        <v/>
      </c>
      <c r="E1245" s="292" t="str">
        <f ca="1">IF(ISERROR($S1245),"",OFFSET('Smelter Reference List'!$D$4,$S1245-4,0)&amp;"")</f>
        <v/>
      </c>
      <c r="F1245" s="292" t="str">
        <f ca="1">IF(ISERROR($S1245),"",OFFSET('Smelter Reference List'!$E$4,$S1245-4,0))</f>
        <v/>
      </c>
      <c r="G1245" s="292" t="str">
        <f ca="1">IF(C1245=$U$4,"Enter smelter details", IF(ISERROR($S1245),"",OFFSET('Smelter Reference List'!$F$4,$S1245-4,0)))</f>
        <v/>
      </c>
      <c r="H1245" s="293" t="str">
        <f ca="1">IF(ISERROR($S1245),"",OFFSET('Smelter Reference List'!$G$4,$S1245-4,0))</f>
        <v/>
      </c>
      <c r="I1245" s="294" t="str">
        <f ca="1">IF(ISERROR($S1245),"",OFFSET('Smelter Reference List'!$H$4,$S1245-4,0))</f>
        <v/>
      </c>
      <c r="J1245" s="294" t="str">
        <f ca="1">IF(ISERROR($S1245),"",OFFSET('Smelter Reference List'!$I$4,$S1245-4,0))</f>
        <v/>
      </c>
      <c r="K1245" s="295"/>
      <c r="L1245" s="295"/>
      <c r="M1245" s="295"/>
      <c r="N1245" s="295"/>
      <c r="O1245" s="295"/>
      <c r="P1245" s="295"/>
      <c r="Q1245" s="296"/>
      <c r="R1245" s="227"/>
      <c r="S1245" s="228" t="e">
        <f>IF(C1245="",NA(),MATCH($B1245&amp;$C1245,'Smelter Reference List'!$J:$J,0))</f>
        <v>#N/A</v>
      </c>
      <c r="T1245" s="229"/>
      <c r="U1245" s="229">
        <f t="shared" ca="1" si="40"/>
        <v>0</v>
      </c>
      <c r="V1245" s="229"/>
      <c r="W1245" s="229"/>
      <c r="Y1245" s="223" t="str">
        <f t="shared" si="41"/>
        <v/>
      </c>
    </row>
    <row r="1246" spans="1:25" s="223" customFormat="1" ht="20.25">
      <c r="A1246" s="291"/>
      <c r="B1246" s="292" t="str">
        <f>IF(LEN(A1246)=0,"",INDEX('Smelter Reference List'!$A:$A,MATCH($A1246,'Smelter Reference List'!$E:$E,0)))</f>
        <v/>
      </c>
      <c r="C1246" s="298" t="str">
        <f>IF(LEN(A1246)=0,"",INDEX('Smelter Reference List'!$C:$C,MATCH($A1246,'Smelter Reference List'!$E:$E,0)))</f>
        <v/>
      </c>
      <c r="D1246" s="292" t="str">
        <f ca="1">IF(ISERROR($S1246),"",OFFSET('Smelter Reference List'!$C$4,$S1246-4,0)&amp;"")</f>
        <v/>
      </c>
      <c r="E1246" s="292" t="str">
        <f ca="1">IF(ISERROR($S1246),"",OFFSET('Smelter Reference List'!$D$4,$S1246-4,0)&amp;"")</f>
        <v/>
      </c>
      <c r="F1246" s="292" t="str">
        <f ca="1">IF(ISERROR($S1246),"",OFFSET('Smelter Reference List'!$E$4,$S1246-4,0))</f>
        <v/>
      </c>
      <c r="G1246" s="292" t="str">
        <f ca="1">IF(C1246=$U$4,"Enter smelter details", IF(ISERROR($S1246),"",OFFSET('Smelter Reference List'!$F$4,$S1246-4,0)))</f>
        <v/>
      </c>
      <c r="H1246" s="293" t="str">
        <f ca="1">IF(ISERROR($S1246),"",OFFSET('Smelter Reference List'!$G$4,$S1246-4,0))</f>
        <v/>
      </c>
      <c r="I1246" s="294" t="str">
        <f ca="1">IF(ISERROR($S1246),"",OFFSET('Smelter Reference List'!$H$4,$S1246-4,0))</f>
        <v/>
      </c>
      <c r="J1246" s="294" t="str">
        <f ca="1">IF(ISERROR($S1246),"",OFFSET('Smelter Reference List'!$I$4,$S1246-4,0))</f>
        <v/>
      </c>
      <c r="K1246" s="295"/>
      <c r="L1246" s="295"/>
      <c r="M1246" s="295"/>
      <c r="N1246" s="295"/>
      <c r="O1246" s="295"/>
      <c r="P1246" s="295"/>
      <c r="Q1246" s="296"/>
      <c r="R1246" s="227"/>
      <c r="S1246" s="228" t="e">
        <f>IF(C1246="",NA(),MATCH($B1246&amp;$C1246,'Smelter Reference List'!$J:$J,0))</f>
        <v>#N/A</v>
      </c>
      <c r="T1246" s="229"/>
      <c r="U1246" s="229">
        <f t="shared" ca="1" si="40"/>
        <v>0</v>
      </c>
      <c r="V1246" s="229"/>
      <c r="W1246" s="229"/>
      <c r="Y1246" s="223" t="str">
        <f t="shared" si="41"/>
        <v/>
      </c>
    </row>
    <row r="1247" spans="1:25" s="223" customFormat="1" ht="20.25">
      <c r="A1247" s="291"/>
      <c r="B1247" s="292" t="str">
        <f>IF(LEN(A1247)=0,"",INDEX('Smelter Reference List'!$A:$A,MATCH($A1247,'Smelter Reference List'!$E:$E,0)))</f>
        <v/>
      </c>
      <c r="C1247" s="298" t="str">
        <f>IF(LEN(A1247)=0,"",INDEX('Smelter Reference List'!$C:$C,MATCH($A1247,'Smelter Reference List'!$E:$E,0)))</f>
        <v/>
      </c>
      <c r="D1247" s="292" t="str">
        <f ca="1">IF(ISERROR($S1247),"",OFFSET('Smelter Reference List'!$C$4,$S1247-4,0)&amp;"")</f>
        <v/>
      </c>
      <c r="E1247" s="292" t="str">
        <f ca="1">IF(ISERROR($S1247),"",OFFSET('Smelter Reference List'!$D$4,$S1247-4,0)&amp;"")</f>
        <v/>
      </c>
      <c r="F1247" s="292" t="str">
        <f ca="1">IF(ISERROR($S1247),"",OFFSET('Smelter Reference List'!$E$4,$S1247-4,0))</f>
        <v/>
      </c>
      <c r="G1247" s="292" t="str">
        <f ca="1">IF(C1247=$U$4,"Enter smelter details", IF(ISERROR($S1247),"",OFFSET('Smelter Reference List'!$F$4,$S1247-4,0)))</f>
        <v/>
      </c>
      <c r="H1247" s="293" t="str">
        <f ca="1">IF(ISERROR($S1247),"",OFFSET('Smelter Reference List'!$G$4,$S1247-4,0))</f>
        <v/>
      </c>
      <c r="I1247" s="294" t="str">
        <f ca="1">IF(ISERROR($S1247),"",OFFSET('Smelter Reference List'!$H$4,$S1247-4,0))</f>
        <v/>
      </c>
      <c r="J1247" s="294" t="str">
        <f ca="1">IF(ISERROR($S1247),"",OFFSET('Smelter Reference List'!$I$4,$S1247-4,0))</f>
        <v/>
      </c>
      <c r="K1247" s="295"/>
      <c r="L1247" s="295"/>
      <c r="M1247" s="295"/>
      <c r="N1247" s="295"/>
      <c r="O1247" s="295"/>
      <c r="P1247" s="295"/>
      <c r="Q1247" s="296"/>
      <c r="R1247" s="227"/>
      <c r="S1247" s="228" t="e">
        <f>IF(C1247="",NA(),MATCH($B1247&amp;$C1247,'Smelter Reference List'!$J:$J,0))</f>
        <v>#N/A</v>
      </c>
      <c r="T1247" s="229"/>
      <c r="U1247" s="229">
        <f t="shared" ca="1" si="40"/>
        <v>0</v>
      </c>
      <c r="V1247" s="229"/>
      <c r="W1247" s="229"/>
      <c r="Y1247" s="223" t="str">
        <f t="shared" si="41"/>
        <v/>
      </c>
    </row>
    <row r="1248" spans="1:25" s="223" customFormat="1" ht="20.25">
      <c r="A1248" s="291"/>
      <c r="B1248" s="292" t="str">
        <f>IF(LEN(A1248)=0,"",INDEX('Smelter Reference List'!$A:$A,MATCH($A1248,'Smelter Reference List'!$E:$E,0)))</f>
        <v/>
      </c>
      <c r="C1248" s="298" t="str">
        <f>IF(LEN(A1248)=0,"",INDEX('Smelter Reference List'!$C:$C,MATCH($A1248,'Smelter Reference List'!$E:$E,0)))</f>
        <v/>
      </c>
      <c r="D1248" s="292" t="str">
        <f ca="1">IF(ISERROR($S1248),"",OFFSET('Smelter Reference List'!$C$4,$S1248-4,0)&amp;"")</f>
        <v/>
      </c>
      <c r="E1248" s="292" t="str">
        <f ca="1">IF(ISERROR($S1248),"",OFFSET('Smelter Reference List'!$D$4,$S1248-4,0)&amp;"")</f>
        <v/>
      </c>
      <c r="F1248" s="292" t="str">
        <f ca="1">IF(ISERROR($S1248),"",OFFSET('Smelter Reference List'!$E$4,$S1248-4,0))</f>
        <v/>
      </c>
      <c r="G1248" s="292" t="str">
        <f ca="1">IF(C1248=$U$4,"Enter smelter details", IF(ISERROR($S1248),"",OFFSET('Smelter Reference List'!$F$4,$S1248-4,0)))</f>
        <v/>
      </c>
      <c r="H1248" s="293" t="str">
        <f ca="1">IF(ISERROR($S1248),"",OFFSET('Smelter Reference List'!$G$4,$S1248-4,0))</f>
        <v/>
      </c>
      <c r="I1248" s="294" t="str">
        <f ca="1">IF(ISERROR($S1248),"",OFFSET('Smelter Reference List'!$H$4,$S1248-4,0))</f>
        <v/>
      </c>
      <c r="J1248" s="294" t="str">
        <f ca="1">IF(ISERROR($S1248),"",OFFSET('Smelter Reference List'!$I$4,$S1248-4,0))</f>
        <v/>
      </c>
      <c r="K1248" s="295"/>
      <c r="L1248" s="295"/>
      <c r="M1248" s="295"/>
      <c r="N1248" s="295"/>
      <c r="O1248" s="295"/>
      <c r="P1248" s="295"/>
      <c r="Q1248" s="296"/>
      <c r="R1248" s="227"/>
      <c r="S1248" s="228" t="e">
        <f>IF(C1248="",NA(),MATCH($B1248&amp;$C1248,'Smelter Reference List'!$J:$J,0))</f>
        <v>#N/A</v>
      </c>
      <c r="T1248" s="229"/>
      <c r="U1248" s="229">
        <f t="shared" ca="1" si="40"/>
        <v>0</v>
      </c>
      <c r="V1248" s="229"/>
      <c r="W1248" s="229"/>
      <c r="Y1248" s="223" t="str">
        <f t="shared" si="41"/>
        <v/>
      </c>
    </row>
    <row r="1249" spans="1:25" s="223" customFormat="1" ht="20.25">
      <c r="A1249" s="291"/>
      <c r="B1249" s="292" t="str">
        <f>IF(LEN(A1249)=0,"",INDEX('Smelter Reference List'!$A:$A,MATCH($A1249,'Smelter Reference List'!$E:$E,0)))</f>
        <v/>
      </c>
      <c r="C1249" s="298" t="str">
        <f>IF(LEN(A1249)=0,"",INDEX('Smelter Reference List'!$C:$C,MATCH($A1249,'Smelter Reference List'!$E:$E,0)))</f>
        <v/>
      </c>
      <c r="D1249" s="292" t="str">
        <f ca="1">IF(ISERROR($S1249),"",OFFSET('Smelter Reference List'!$C$4,$S1249-4,0)&amp;"")</f>
        <v/>
      </c>
      <c r="E1249" s="292" t="str">
        <f ca="1">IF(ISERROR($S1249),"",OFFSET('Smelter Reference List'!$D$4,$S1249-4,0)&amp;"")</f>
        <v/>
      </c>
      <c r="F1249" s="292" t="str">
        <f ca="1">IF(ISERROR($S1249),"",OFFSET('Smelter Reference List'!$E$4,$S1249-4,0))</f>
        <v/>
      </c>
      <c r="G1249" s="292" t="str">
        <f ca="1">IF(C1249=$U$4,"Enter smelter details", IF(ISERROR($S1249),"",OFFSET('Smelter Reference List'!$F$4,$S1249-4,0)))</f>
        <v/>
      </c>
      <c r="H1249" s="293" t="str">
        <f ca="1">IF(ISERROR($S1249),"",OFFSET('Smelter Reference List'!$G$4,$S1249-4,0))</f>
        <v/>
      </c>
      <c r="I1249" s="294" t="str">
        <f ca="1">IF(ISERROR($S1249),"",OFFSET('Smelter Reference List'!$H$4,$S1249-4,0))</f>
        <v/>
      </c>
      <c r="J1249" s="294" t="str">
        <f ca="1">IF(ISERROR($S1249),"",OFFSET('Smelter Reference List'!$I$4,$S1249-4,0))</f>
        <v/>
      </c>
      <c r="K1249" s="295"/>
      <c r="L1249" s="295"/>
      <c r="M1249" s="295"/>
      <c r="N1249" s="295"/>
      <c r="O1249" s="295"/>
      <c r="P1249" s="295"/>
      <c r="Q1249" s="296"/>
      <c r="R1249" s="227"/>
      <c r="S1249" s="228" t="e">
        <f>IF(C1249="",NA(),MATCH($B1249&amp;$C1249,'Smelter Reference List'!$J:$J,0))</f>
        <v>#N/A</v>
      </c>
      <c r="T1249" s="229"/>
      <c r="U1249" s="229">
        <f t="shared" ca="1" si="40"/>
        <v>0</v>
      </c>
      <c r="V1249" s="229"/>
      <c r="W1249" s="229"/>
      <c r="Y1249" s="223" t="str">
        <f t="shared" si="41"/>
        <v/>
      </c>
    </row>
    <row r="1250" spans="1:25" s="223" customFormat="1" ht="20.25">
      <c r="A1250" s="291"/>
      <c r="B1250" s="292" t="str">
        <f>IF(LEN(A1250)=0,"",INDEX('Smelter Reference List'!$A:$A,MATCH($A1250,'Smelter Reference List'!$E:$E,0)))</f>
        <v/>
      </c>
      <c r="C1250" s="298" t="str">
        <f>IF(LEN(A1250)=0,"",INDEX('Smelter Reference List'!$C:$C,MATCH($A1250,'Smelter Reference List'!$E:$E,0)))</f>
        <v/>
      </c>
      <c r="D1250" s="292" t="str">
        <f ca="1">IF(ISERROR($S1250),"",OFFSET('Smelter Reference List'!$C$4,$S1250-4,0)&amp;"")</f>
        <v/>
      </c>
      <c r="E1250" s="292" t="str">
        <f ca="1">IF(ISERROR($S1250),"",OFFSET('Smelter Reference List'!$D$4,$S1250-4,0)&amp;"")</f>
        <v/>
      </c>
      <c r="F1250" s="292" t="str">
        <f ca="1">IF(ISERROR($S1250),"",OFFSET('Smelter Reference List'!$E$4,$S1250-4,0))</f>
        <v/>
      </c>
      <c r="G1250" s="292" t="str">
        <f ca="1">IF(C1250=$U$4,"Enter smelter details", IF(ISERROR($S1250),"",OFFSET('Smelter Reference List'!$F$4,$S1250-4,0)))</f>
        <v/>
      </c>
      <c r="H1250" s="293" t="str">
        <f ca="1">IF(ISERROR($S1250),"",OFFSET('Smelter Reference List'!$G$4,$S1250-4,0))</f>
        <v/>
      </c>
      <c r="I1250" s="294" t="str">
        <f ca="1">IF(ISERROR($S1250),"",OFFSET('Smelter Reference List'!$H$4,$S1250-4,0))</f>
        <v/>
      </c>
      <c r="J1250" s="294" t="str">
        <f ca="1">IF(ISERROR($S1250),"",OFFSET('Smelter Reference List'!$I$4,$S1250-4,0))</f>
        <v/>
      </c>
      <c r="K1250" s="295"/>
      <c r="L1250" s="295"/>
      <c r="M1250" s="295"/>
      <c r="N1250" s="295"/>
      <c r="O1250" s="295"/>
      <c r="P1250" s="295"/>
      <c r="Q1250" s="296"/>
      <c r="R1250" s="227"/>
      <c r="S1250" s="228" t="e">
        <f>IF(C1250="",NA(),MATCH($B1250&amp;$C1250,'Smelter Reference List'!$J:$J,0))</f>
        <v>#N/A</v>
      </c>
      <c r="T1250" s="229"/>
      <c r="U1250" s="229">
        <f t="shared" ca="1" si="40"/>
        <v>0</v>
      </c>
      <c r="V1250" s="229"/>
      <c r="W1250" s="229"/>
      <c r="Y1250" s="223" t="str">
        <f t="shared" si="41"/>
        <v/>
      </c>
    </row>
    <row r="1251" spans="1:25" s="223" customFormat="1" ht="20.25">
      <c r="A1251" s="291"/>
      <c r="B1251" s="292" t="str">
        <f>IF(LEN(A1251)=0,"",INDEX('Smelter Reference List'!$A:$A,MATCH($A1251,'Smelter Reference List'!$E:$E,0)))</f>
        <v/>
      </c>
      <c r="C1251" s="298" t="str">
        <f>IF(LEN(A1251)=0,"",INDEX('Smelter Reference List'!$C:$C,MATCH($A1251,'Smelter Reference List'!$E:$E,0)))</f>
        <v/>
      </c>
      <c r="D1251" s="292" t="str">
        <f ca="1">IF(ISERROR($S1251),"",OFFSET('Smelter Reference List'!$C$4,$S1251-4,0)&amp;"")</f>
        <v/>
      </c>
      <c r="E1251" s="292" t="str">
        <f ca="1">IF(ISERROR($S1251),"",OFFSET('Smelter Reference List'!$D$4,$S1251-4,0)&amp;"")</f>
        <v/>
      </c>
      <c r="F1251" s="292" t="str">
        <f ca="1">IF(ISERROR($S1251),"",OFFSET('Smelter Reference List'!$E$4,$S1251-4,0))</f>
        <v/>
      </c>
      <c r="G1251" s="292" t="str">
        <f ca="1">IF(C1251=$U$4,"Enter smelter details", IF(ISERROR($S1251),"",OFFSET('Smelter Reference List'!$F$4,$S1251-4,0)))</f>
        <v/>
      </c>
      <c r="H1251" s="293" t="str">
        <f ca="1">IF(ISERROR($S1251),"",OFFSET('Smelter Reference List'!$G$4,$S1251-4,0))</f>
        <v/>
      </c>
      <c r="I1251" s="294" t="str">
        <f ca="1">IF(ISERROR($S1251),"",OFFSET('Smelter Reference List'!$H$4,$S1251-4,0))</f>
        <v/>
      </c>
      <c r="J1251" s="294" t="str">
        <f ca="1">IF(ISERROR($S1251),"",OFFSET('Smelter Reference List'!$I$4,$S1251-4,0))</f>
        <v/>
      </c>
      <c r="K1251" s="295"/>
      <c r="L1251" s="295"/>
      <c r="M1251" s="295"/>
      <c r="N1251" s="295"/>
      <c r="O1251" s="295"/>
      <c r="P1251" s="295"/>
      <c r="Q1251" s="296"/>
      <c r="R1251" s="227"/>
      <c r="S1251" s="228" t="e">
        <f>IF(C1251="",NA(),MATCH($B1251&amp;$C1251,'Smelter Reference List'!$J:$J,0))</f>
        <v>#N/A</v>
      </c>
      <c r="T1251" s="229"/>
      <c r="U1251" s="229">
        <f t="shared" ca="1" si="40"/>
        <v>0</v>
      </c>
      <c r="V1251" s="229"/>
      <c r="W1251" s="229"/>
      <c r="Y1251" s="223" t="str">
        <f t="shared" si="41"/>
        <v/>
      </c>
    </row>
    <row r="1252" spans="1:25" s="223" customFormat="1" ht="20.25">
      <c r="A1252" s="291"/>
      <c r="B1252" s="292" t="str">
        <f>IF(LEN(A1252)=0,"",INDEX('Smelter Reference List'!$A:$A,MATCH($A1252,'Smelter Reference List'!$E:$E,0)))</f>
        <v/>
      </c>
      <c r="C1252" s="298" t="str">
        <f>IF(LEN(A1252)=0,"",INDEX('Smelter Reference List'!$C:$C,MATCH($A1252,'Smelter Reference List'!$E:$E,0)))</f>
        <v/>
      </c>
      <c r="D1252" s="292" t="str">
        <f ca="1">IF(ISERROR($S1252),"",OFFSET('Smelter Reference List'!$C$4,$S1252-4,0)&amp;"")</f>
        <v/>
      </c>
      <c r="E1252" s="292" t="str">
        <f ca="1">IF(ISERROR($S1252),"",OFFSET('Smelter Reference List'!$D$4,$S1252-4,0)&amp;"")</f>
        <v/>
      </c>
      <c r="F1252" s="292" t="str">
        <f ca="1">IF(ISERROR($S1252),"",OFFSET('Smelter Reference List'!$E$4,$S1252-4,0))</f>
        <v/>
      </c>
      <c r="G1252" s="292" t="str">
        <f ca="1">IF(C1252=$U$4,"Enter smelter details", IF(ISERROR($S1252),"",OFFSET('Smelter Reference List'!$F$4,$S1252-4,0)))</f>
        <v/>
      </c>
      <c r="H1252" s="293" t="str">
        <f ca="1">IF(ISERROR($S1252),"",OFFSET('Smelter Reference List'!$G$4,$S1252-4,0))</f>
        <v/>
      </c>
      <c r="I1252" s="294" t="str">
        <f ca="1">IF(ISERROR($S1252),"",OFFSET('Smelter Reference List'!$H$4,$S1252-4,0))</f>
        <v/>
      </c>
      <c r="J1252" s="294" t="str">
        <f ca="1">IF(ISERROR($S1252),"",OFFSET('Smelter Reference List'!$I$4,$S1252-4,0))</f>
        <v/>
      </c>
      <c r="K1252" s="295"/>
      <c r="L1252" s="295"/>
      <c r="M1252" s="295"/>
      <c r="N1252" s="295"/>
      <c r="O1252" s="295"/>
      <c r="P1252" s="295"/>
      <c r="Q1252" s="296"/>
      <c r="R1252" s="227"/>
      <c r="S1252" s="228" t="e">
        <f>IF(C1252="",NA(),MATCH($B1252&amp;$C1252,'Smelter Reference List'!$J:$J,0))</f>
        <v>#N/A</v>
      </c>
      <c r="T1252" s="229"/>
      <c r="U1252" s="229">
        <f t="shared" ca="1" si="40"/>
        <v>0</v>
      </c>
      <c r="V1252" s="229"/>
      <c r="W1252" s="229"/>
      <c r="Y1252" s="223" t="str">
        <f t="shared" si="41"/>
        <v/>
      </c>
    </row>
    <row r="1253" spans="1:25" s="223" customFormat="1" ht="20.25">
      <c r="A1253" s="291"/>
      <c r="B1253" s="292" t="str">
        <f>IF(LEN(A1253)=0,"",INDEX('Smelter Reference List'!$A:$A,MATCH($A1253,'Smelter Reference List'!$E:$E,0)))</f>
        <v/>
      </c>
      <c r="C1253" s="298" t="str">
        <f>IF(LEN(A1253)=0,"",INDEX('Smelter Reference List'!$C:$C,MATCH($A1253,'Smelter Reference List'!$E:$E,0)))</f>
        <v/>
      </c>
      <c r="D1253" s="292" t="str">
        <f ca="1">IF(ISERROR($S1253),"",OFFSET('Smelter Reference List'!$C$4,$S1253-4,0)&amp;"")</f>
        <v/>
      </c>
      <c r="E1253" s="292" t="str">
        <f ca="1">IF(ISERROR($S1253),"",OFFSET('Smelter Reference List'!$D$4,$S1253-4,0)&amp;"")</f>
        <v/>
      </c>
      <c r="F1253" s="292" t="str">
        <f ca="1">IF(ISERROR($S1253),"",OFFSET('Smelter Reference List'!$E$4,$S1253-4,0))</f>
        <v/>
      </c>
      <c r="G1253" s="292" t="str">
        <f ca="1">IF(C1253=$U$4,"Enter smelter details", IF(ISERROR($S1253),"",OFFSET('Smelter Reference List'!$F$4,$S1253-4,0)))</f>
        <v/>
      </c>
      <c r="H1253" s="293" t="str">
        <f ca="1">IF(ISERROR($S1253),"",OFFSET('Smelter Reference List'!$G$4,$S1253-4,0))</f>
        <v/>
      </c>
      <c r="I1253" s="294" t="str">
        <f ca="1">IF(ISERROR($S1253),"",OFFSET('Smelter Reference List'!$H$4,$S1253-4,0))</f>
        <v/>
      </c>
      <c r="J1253" s="294" t="str">
        <f ca="1">IF(ISERROR($S1253),"",OFFSET('Smelter Reference List'!$I$4,$S1253-4,0))</f>
        <v/>
      </c>
      <c r="K1253" s="295"/>
      <c r="L1253" s="295"/>
      <c r="M1253" s="295"/>
      <c r="N1253" s="295"/>
      <c r="O1253" s="295"/>
      <c r="P1253" s="295"/>
      <c r="Q1253" s="296"/>
      <c r="R1253" s="227"/>
      <c r="S1253" s="228" t="e">
        <f>IF(C1253="",NA(),MATCH($B1253&amp;$C1253,'Smelter Reference List'!$J:$J,0))</f>
        <v>#N/A</v>
      </c>
      <c r="T1253" s="229"/>
      <c r="U1253" s="229">
        <f t="shared" ca="1" si="40"/>
        <v>0</v>
      </c>
      <c r="V1253" s="229"/>
      <c r="W1253" s="229"/>
      <c r="Y1253" s="223" t="str">
        <f t="shared" si="41"/>
        <v/>
      </c>
    </row>
    <row r="1254" spans="1:25" s="223" customFormat="1" ht="20.25">
      <c r="A1254" s="291"/>
      <c r="B1254" s="292" t="str">
        <f>IF(LEN(A1254)=0,"",INDEX('Smelter Reference List'!$A:$A,MATCH($A1254,'Smelter Reference List'!$E:$E,0)))</f>
        <v/>
      </c>
      <c r="C1254" s="298" t="str">
        <f>IF(LEN(A1254)=0,"",INDEX('Smelter Reference List'!$C:$C,MATCH($A1254,'Smelter Reference List'!$E:$E,0)))</f>
        <v/>
      </c>
      <c r="D1254" s="292" t="str">
        <f ca="1">IF(ISERROR($S1254),"",OFFSET('Smelter Reference List'!$C$4,$S1254-4,0)&amp;"")</f>
        <v/>
      </c>
      <c r="E1254" s="292" t="str">
        <f ca="1">IF(ISERROR($S1254),"",OFFSET('Smelter Reference List'!$D$4,$S1254-4,0)&amp;"")</f>
        <v/>
      </c>
      <c r="F1254" s="292" t="str">
        <f ca="1">IF(ISERROR($S1254),"",OFFSET('Smelter Reference List'!$E$4,$S1254-4,0))</f>
        <v/>
      </c>
      <c r="G1254" s="292" t="str">
        <f ca="1">IF(C1254=$U$4,"Enter smelter details", IF(ISERROR($S1254),"",OFFSET('Smelter Reference List'!$F$4,$S1254-4,0)))</f>
        <v/>
      </c>
      <c r="H1254" s="293" t="str">
        <f ca="1">IF(ISERROR($S1254),"",OFFSET('Smelter Reference List'!$G$4,$S1254-4,0))</f>
        <v/>
      </c>
      <c r="I1254" s="294" t="str">
        <f ca="1">IF(ISERROR($S1254),"",OFFSET('Smelter Reference List'!$H$4,$S1254-4,0))</f>
        <v/>
      </c>
      <c r="J1254" s="294" t="str">
        <f ca="1">IF(ISERROR($S1254),"",OFFSET('Smelter Reference List'!$I$4,$S1254-4,0))</f>
        <v/>
      </c>
      <c r="K1254" s="295"/>
      <c r="L1254" s="295"/>
      <c r="M1254" s="295"/>
      <c r="N1254" s="295"/>
      <c r="O1254" s="295"/>
      <c r="P1254" s="295"/>
      <c r="Q1254" s="296"/>
      <c r="R1254" s="227"/>
      <c r="S1254" s="228" t="e">
        <f>IF(C1254="",NA(),MATCH($B1254&amp;$C1254,'Smelter Reference List'!$J:$J,0))</f>
        <v>#N/A</v>
      </c>
      <c r="T1254" s="229"/>
      <c r="U1254" s="229">
        <f t="shared" ca="1" si="40"/>
        <v>0</v>
      </c>
      <c r="V1254" s="229"/>
      <c r="W1254" s="229"/>
      <c r="Y1254" s="223" t="str">
        <f t="shared" si="41"/>
        <v/>
      </c>
    </row>
    <row r="1255" spans="1:25" s="223" customFormat="1" ht="20.25">
      <c r="A1255" s="291"/>
      <c r="B1255" s="292" t="str">
        <f>IF(LEN(A1255)=0,"",INDEX('Smelter Reference List'!$A:$A,MATCH($A1255,'Smelter Reference List'!$E:$E,0)))</f>
        <v/>
      </c>
      <c r="C1255" s="298" t="str">
        <f>IF(LEN(A1255)=0,"",INDEX('Smelter Reference List'!$C:$C,MATCH($A1255,'Smelter Reference List'!$E:$E,0)))</f>
        <v/>
      </c>
      <c r="D1255" s="292" t="str">
        <f ca="1">IF(ISERROR($S1255),"",OFFSET('Smelter Reference List'!$C$4,$S1255-4,0)&amp;"")</f>
        <v/>
      </c>
      <c r="E1255" s="292" t="str">
        <f ca="1">IF(ISERROR($S1255),"",OFFSET('Smelter Reference List'!$D$4,$S1255-4,0)&amp;"")</f>
        <v/>
      </c>
      <c r="F1255" s="292" t="str">
        <f ca="1">IF(ISERROR($S1255),"",OFFSET('Smelter Reference List'!$E$4,$S1255-4,0))</f>
        <v/>
      </c>
      <c r="G1255" s="292" t="str">
        <f ca="1">IF(C1255=$U$4,"Enter smelter details", IF(ISERROR($S1255),"",OFFSET('Smelter Reference List'!$F$4,$S1255-4,0)))</f>
        <v/>
      </c>
      <c r="H1255" s="293" t="str">
        <f ca="1">IF(ISERROR($S1255),"",OFFSET('Smelter Reference List'!$G$4,$S1255-4,0))</f>
        <v/>
      </c>
      <c r="I1255" s="294" t="str">
        <f ca="1">IF(ISERROR($S1255),"",OFFSET('Smelter Reference List'!$H$4,$S1255-4,0))</f>
        <v/>
      </c>
      <c r="J1255" s="294" t="str">
        <f ca="1">IF(ISERROR($S1255),"",OFFSET('Smelter Reference List'!$I$4,$S1255-4,0))</f>
        <v/>
      </c>
      <c r="K1255" s="295"/>
      <c r="L1255" s="295"/>
      <c r="M1255" s="295"/>
      <c r="N1255" s="295"/>
      <c r="O1255" s="295"/>
      <c r="P1255" s="295"/>
      <c r="Q1255" s="296"/>
      <c r="R1255" s="227"/>
      <c r="S1255" s="228" t="e">
        <f>IF(C1255="",NA(),MATCH($B1255&amp;$C1255,'Smelter Reference List'!$J:$J,0))</f>
        <v>#N/A</v>
      </c>
      <c r="T1255" s="229"/>
      <c r="U1255" s="229">
        <f t="shared" ca="1" si="40"/>
        <v>0</v>
      </c>
      <c r="V1255" s="229"/>
      <c r="W1255" s="229"/>
      <c r="Y1255" s="223" t="str">
        <f t="shared" si="41"/>
        <v/>
      </c>
    </row>
    <row r="1256" spans="1:25" s="223" customFormat="1" ht="20.25">
      <c r="A1256" s="291"/>
      <c r="B1256" s="292" t="str">
        <f>IF(LEN(A1256)=0,"",INDEX('Smelter Reference List'!$A:$A,MATCH($A1256,'Smelter Reference List'!$E:$E,0)))</f>
        <v/>
      </c>
      <c r="C1256" s="298" t="str">
        <f>IF(LEN(A1256)=0,"",INDEX('Smelter Reference List'!$C:$C,MATCH($A1256,'Smelter Reference List'!$E:$E,0)))</f>
        <v/>
      </c>
      <c r="D1256" s="292" t="str">
        <f ca="1">IF(ISERROR($S1256),"",OFFSET('Smelter Reference List'!$C$4,$S1256-4,0)&amp;"")</f>
        <v/>
      </c>
      <c r="E1256" s="292" t="str">
        <f ca="1">IF(ISERROR($S1256),"",OFFSET('Smelter Reference List'!$D$4,$S1256-4,0)&amp;"")</f>
        <v/>
      </c>
      <c r="F1256" s="292" t="str">
        <f ca="1">IF(ISERROR($S1256),"",OFFSET('Smelter Reference List'!$E$4,$S1256-4,0))</f>
        <v/>
      </c>
      <c r="G1256" s="292" t="str">
        <f ca="1">IF(C1256=$U$4,"Enter smelter details", IF(ISERROR($S1256),"",OFFSET('Smelter Reference List'!$F$4,$S1256-4,0)))</f>
        <v/>
      </c>
      <c r="H1256" s="293" t="str">
        <f ca="1">IF(ISERROR($S1256),"",OFFSET('Smelter Reference List'!$G$4,$S1256-4,0))</f>
        <v/>
      </c>
      <c r="I1256" s="294" t="str">
        <f ca="1">IF(ISERROR($S1256),"",OFFSET('Smelter Reference List'!$H$4,$S1256-4,0))</f>
        <v/>
      </c>
      <c r="J1256" s="294" t="str">
        <f ca="1">IF(ISERROR($S1256),"",OFFSET('Smelter Reference List'!$I$4,$S1256-4,0))</f>
        <v/>
      </c>
      <c r="K1256" s="295"/>
      <c r="L1256" s="295"/>
      <c r="M1256" s="295"/>
      <c r="N1256" s="295"/>
      <c r="O1256" s="295"/>
      <c r="P1256" s="295"/>
      <c r="Q1256" s="296"/>
      <c r="R1256" s="227"/>
      <c r="S1256" s="228" t="e">
        <f>IF(C1256="",NA(),MATCH($B1256&amp;$C1256,'Smelter Reference List'!$J:$J,0))</f>
        <v>#N/A</v>
      </c>
      <c r="T1256" s="229"/>
      <c r="U1256" s="229">
        <f t="shared" ca="1" si="40"/>
        <v>0</v>
      </c>
      <c r="V1256" s="229"/>
      <c r="W1256" s="229"/>
      <c r="Y1256" s="223" t="str">
        <f t="shared" si="41"/>
        <v/>
      </c>
    </row>
    <row r="1257" spans="1:25" s="223" customFormat="1" ht="20.25">
      <c r="A1257" s="291"/>
      <c r="B1257" s="292" t="str">
        <f>IF(LEN(A1257)=0,"",INDEX('Smelter Reference List'!$A:$A,MATCH($A1257,'Smelter Reference List'!$E:$E,0)))</f>
        <v/>
      </c>
      <c r="C1257" s="298" t="str">
        <f>IF(LEN(A1257)=0,"",INDEX('Smelter Reference List'!$C:$C,MATCH($A1257,'Smelter Reference List'!$E:$E,0)))</f>
        <v/>
      </c>
      <c r="D1257" s="292" t="str">
        <f ca="1">IF(ISERROR($S1257),"",OFFSET('Smelter Reference List'!$C$4,$S1257-4,0)&amp;"")</f>
        <v/>
      </c>
      <c r="E1257" s="292" t="str">
        <f ca="1">IF(ISERROR($S1257),"",OFFSET('Smelter Reference List'!$D$4,$S1257-4,0)&amp;"")</f>
        <v/>
      </c>
      <c r="F1257" s="292" t="str">
        <f ca="1">IF(ISERROR($S1257),"",OFFSET('Smelter Reference List'!$E$4,$S1257-4,0))</f>
        <v/>
      </c>
      <c r="G1257" s="292" t="str">
        <f ca="1">IF(C1257=$U$4,"Enter smelter details", IF(ISERROR($S1257),"",OFFSET('Smelter Reference List'!$F$4,$S1257-4,0)))</f>
        <v/>
      </c>
      <c r="H1257" s="293" t="str">
        <f ca="1">IF(ISERROR($S1257),"",OFFSET('Smelter Reference List'!$G$4,$S1257-4,0))</f>
        <v/>
      </c>
      <c r="I1257" s="294" t="str">
        <f ca="1">IF(ISERROR($S1257),"",OFFSET('Smelter Reference List'!$H$4,$S1257-4,0))</f>
        <v/>
      </c>
      <c r="J1257" s="294" t="str">
        <f ca="1">IF(ISERROR($S1257),"",OFFSET('Smelter Reference List'!$I$4,$S1257-4,0))</f>
        <v/>
      </c>
      <c r="K1257" s="295"/>
      <c r="L1257" s="295"/>
      <c r="M1257" s="295"/>
      <c r="N1257" s="295"/>
      <c r="O1257" s="295"/>
      <c r="P1257" s="295"/>
      <c r="Q1257" s="296"/>
      <c r="R1257" s="227"/>
      <c r="S1257" s="228" t="e">
        <f>IF(C1257="",NA(),MATCH($B1257&amp;$C1257,'Smelter Reference List'!$J:$J,0))</f>
        <v>#N/A</v>
      </c>
      <c r="T1257" s="229"/>
      <c r="U1257" s="229">
        <f t="shared" ca="1" si="40"/>
        <v>0</v>
      </c>
      <c r="V1257" s="229"/>
      <c r="W1257" s="229"/>
      <c r="Y1257" s="223" t="str">
        <f t="shared" si="41"/>
        <v/>
      </c>
    </row>
    <row r="1258" spans="1:25" s="223" customFormat="1" ht="20.25">
      <c r="A1258" s="291"/>
      <c r="B1258" s="292" t="str">
        <f>IF(LEN(A1258)=0,"",INDEX('Smelter Reference List'!$A:$A,MATCH($A1258,'Smelter Reference List'!$E:$E,0)))</f>
        <v/>
      </c>
      <c r="C1258" s="298" t="str">
        <f>IF(LEN(A1258)=0,"",INDEX('Smelter Reference List'!$C:$C,MATCH($A1258,'Smelter Reference List'!$E:$E,0)))</f>
        <v/>
      </c>
      <c r="D1258" s="292" t="str">
        <f ca="1">IF(ISERROR($S1258),"",OFFSET('Smelter Reference List'!$C$4,$S1258-4,0)&amp;"")</f>
        <v/>
      </c>
      <c r="E1258" s="292" t="str">
        <f ca="1">IF(ISERROR($S1258),"",OFFSET('Smelter Reference List'!$D$4,$S1258-4,0)&amp;"")</f>
        <v/>
      </c>
      <c r="F1258" s="292" t="str">
        <f ca="1">IF(ISERROR($S1258),"",OFFSET('Smelter Reference List'!$E$4,$S1258-4,0))</f>
        <v/>
      </c>
      <c r="G1258" s="292" t="str">
        <f ca="1">IF(C1258=$U$4,"Enter smelter details", IF(ISERROR($S1258),"",OFFSET('Smelter Reference List'!$F$4,$S1258-4,0)))</f>
        <v/>
      </c>
      <c r="H1258" s="293" t="str">
        <f ca="1">IF(ISERROR($S1258),"",OFFSET('Smelter Reference List'!$G$4,$S1258-4,0))</f>
        <v/>
      </c>
      <c r="I1258" s="294" t="str">
        <f ca="1">IF(ISERROR($S1258),"",OFFSET('Smelter Reference List'!$H$4,$S1258-4,0))</f>
        <v/>
      </c>
      <c r="J1258" s="294" t="str">
        <f ca="1">IF(ISERROR($S1258),"",OFFSET('Smelter Reference List'!$I$4,$S1258-4,0))</f>
        <v/>
      </c>
      <c r="K1258" s="295"/>
      <c r="L1258" s="295"/>
      <c r="M1258" s="295"/>
      <c r="N1258" s="295"/>
      <c r="O1258" s="295"/>
      <c r="P1258" s="295"/>
      <c r="Q1258" s="296"/>
      <c r="R1258" s="227"/>
      <c r="S1258" s="228" t="e">
        <f>IF(C1258="",NA(),MATCH($B1258&amp;$C1258,'Smelter Reference List'!$J:$J,0))</f>
        <v>#N/A</v>
      </c>
      <c r="T1258" s="229"/>
      <c r="U1258" s="229">
        <f t="shared" ca="1" si="40"/>
        <v>0</v>
      </c>
      <c r="V1258" s="229"/>
      <c r="W1258" s="229"/>
      <c r="Y1258" s="223" t="str">
        <f t="shared" si="41"/>
        <v/>
      </c>
    </row>
    <row r="1259" spans="1:25" s="223" customFormat="1" ht="20.25">
      <c r="A1259" s="291"/>
      <c r="B1259" s="292" t="str">
        <f>IF(LEN(A1259)=0,"",INDEX('Smelter Reference List'!$A:$A,MATCH($A1259,'Smelter Reference List'!$E:$E,0)))</f>
        <v/>
      </c>
      <c r="C1259" s="298" t="str">
        <f>IF(LEN(A1259)=0,"",INDEX('Smelter Reference List'!$C:$C,MATCH($A1259,'Smelter Reference List'!$E:$E,0)))</f>
        <v/>
      </c>
      <c r="D1259" s="292" t="str">
        <f ca="1">IF(ISERROR($S1259),"",OFFSET('Smelter Reference List'!$C$4,$S1259-4,0)&amp;"")</f>
        <v/>
      </c>
      <c r="E1259" s="292" t="str">
        <f ca="1">IF(ISERROR($S1259),"",OFFSET('Smelter Reference List'!$D$4,$S1259-4,0)&amp;"")</f>
        <v/>
      </c>
      <c r="F1259" s="292" t="str">
        <f ca="1">IF(ISERROR($S1259),"",OFFSET('Smelter Reference List'!$E$4,$S1259-4,0))</f>
        <v/>
      </c>
      <c r="G1259" s="292" t="str">
        <f ca="1">IF(C1259=$U$4,"Enter smelter details", IF(ISERROR($S1259),"",OFFSET('Smelter Reference List'!$F$4,$S1259-4,0)))</f>
        <v/>
      </c>
      <c r="H1259" s="293" t="str">
        <f ca="1">IF(ISERROR($S1259),"",OFFSET('Smelter Reference List'!$G$4,$S1259-4,0))</f>
        <v/>
      </c>
      <c r="I1259" s="294" t="str">
        <f ca="1">IF(ISERROR($S1259),"",OFFSET('Smelter Reference List'!$H$4,$S1259-4,0))</f>
        <v/>
      </c>
      <c r="J1259" s="294" t="str">
        <f ca="1">IF(ISERROR($S1259),"",OFFSET('Smelter Reference List'!$I$4,$S1259-4,0))</f>
        <v/>
      </c>
      <c r="K1259" s="295"/>
      <c r="L1259" s="295"/>
      <c r="M1259" s="295"/>
      <c r="N1259" s="295"/>
      <c r="O1259" s="295"/>
      <c r="P1259" s="295"/>
      <c r="Q1259" s="296"/>
      <c r="R1259" s="227"/>
      <c r="S1259" s="228" t="e">
        <f>IF(C1259="",NA(),MATCH($B1259&amp;$C1259,'Smelter Reference List'!$J:$J,0))</f>
        <v>#N/A</v>
      </c>
      <c r="T1259" s="229"/>
      <c r="U1259" s="229">
        <f t="shared" ca="1" si="40"/>
        <v>0</v>
      </c>
      <c r="V1259" s="229"/>
      <c r="W1259" s="229"/>
      <c r="Y1259" s="223" t="str">
        <f t="shared" si="41"/>
        <v/>
      </c>
    </row>
    <row r="1260" spans="1:25" s="223" customFormat="1" ht="20.25">
      <c r="A1260" s="291"/>
      <c r="B1260" s="292" t="str">
        <f>IF(LEN(A1260)=0,"",INDEX('Smelter Reference List'!$A:$A,MATCH($A1260,'Smelter Reference List'!$E:$E,0)))</f>
        <v/>
      </c>
      <c r="C1260" s="298" t="str">
        <f>IF(LEN(A1260)=0,"",INDEX('Smelter Reference List'!$C:$C,MATCH($A1260,'Smelter Reference List'!$E:$E,0)))</f>
        <v/>
      </c>
      <c r="D1260" s="292" t="str">
        <f ca="1">IF(ISERROR($S1260),"",OFFSET('Smelter Reference List'!$C$4,$S1260-4,0)&amp;"")</f>
        <v/>
      </c>
      <c r="E1260" s="292" t="str">
        <f ca="1">IF(ISERROR($S1260),"",OFFSET('Smelter Reference List'!$D$4,$S1260-4,0)&amp;"")</f>
        <v/>
      </c>
      <c r="F1260" s="292" t="str">
        <f ca="1">IF(ISERROR($S1260),"",OFFSET('Smelter Reference List'!$E$4,$S1260-4,0))</f>
        <v/>
      </c>
      <c r="G1260" s="292" t="str">
        <f ca="1">IF(C1260=$U$4,"Enter smelter details", IF(ISERROR($S1260),"",OFFSET('Smelter Reference List'!$F$4,$S1260-4,0)))</f>
        <v/>
      </c>
      <c r="H1260" s="293" t="str">
        <f ca="1">IF(ISERROR($S1260),"",OFFSET('Smelter Reference List'!$G$4,$S1260-4,0))</f>
        <v/>
      </c>
      <c r="I1260" s="294" t="str">
        <f ca="1">IF(ISERROR($S1260),"",OFFSET('Smelter Reference List'!$H$4,$S1260-4,0))</f>
        <v/>
      </c>
      <c r="J1260" s="294" t="str">
        <f ca="1">IF(ISERROR($S1260),"",OFFSET('Smelter Reference List'!$I$4,$S1260-4,0))</f>
        <v/>
      </c>
      <c r="K1260" s="295"/>
      <c r="L1260" s="295"/>
      <c r="M1260" s="295"/>
      <c r="N1260" s="295"/>
      <c r="O1260" s="295"/>
      <c r="P1260" s="295"/>
      <c r="Q1260" s="296"/>
      <c r="R1260" s="227"/>
      <c r="S1260" s="228" t="e">
        <f>IF(C1260="",NA(),MATCH($B1260&amp;$C1260,'Smelter Reference List'!$J:$J,0))</f>
        <v>#N/A</v>
      </c>
      <c r="T1260" s="229"/>
      <c r="U1260" s="229">
        <f t="shared" ca="1" si="40"/>
        <v>0</v>
      </c>
      <c r="V1260" s="229"/>
      <c r="W1260" s="229"/>
      <c r="Y1260" s="223" t="str">
        <f t="shared" si="41"/>
        <v/>
      </c>
    </row>
    <row r="1261" spans="1:25" s="223" customFormat="1" ht="20.25">
      <c r="A1261" s="291"/>
      <c r="B1261" s="292" t="str">
        <f>IF(LEN(A1261)=0,"",INDEX('Smelter Reference List'!$A:$A,MATCH($A1261,'Smelter Reference List'!$E:$E,0)))</f>
        <v/>
      </c>
      <c r="C1261" s="298" t="str">
        <f>IF(LEN(A1261)=0,"",INDEX('Smelter Reference List'!$C:$C,MATCH($A1261,'Smelter Reference List'!$E:$E,0)))</f>
        <v/>
      </c>
      <c r="D1261" s="292" t="str">
        <f ca="1">IF(ISERROR($S1261),"",OFFSET('Smelter Reference List'!$C$4,$S1261-4,0)&amp;"")</f>
        <v/>
      </c>
      <c r="E1261" s="292" t="str">
        <f ca="1">IF(ISERROR($S1261),"",OFFSET('Smelter Reference List'!$D$4,$S1261-4,0)&amp;"")</f>
        <v/>
      </c>
      <c r="F1261" s="292" t="str">
        <f ca="1">IF(ISERROR($S1261),"",OFFSET('Smelter Reference List'!$E$4,$S1261-4,0))</f>
        <v/>
      </c>
      <c r="G1261" s="292" t="str">
        <f ca="1">IF(C1261=$U$4,"Enter smelter details", IF(ISERROR($S1261),"",OFFSET('Smelter Reference List'!$F$4,$S1261-4,0)))</f>
        <v/>
      </c>
      <c r="H1261" s="293" t="str">
        <f ca="1">IF(ISERROR($S1261),"",OFFSET('Smelter Reference List'!$G$4,$S1261-4,0))</f>
        <v/>
      </c>
      <c r="I1261" s="294" t="str">
        <f ca="1">IF(ISERROR($S1261),"",OFFSET('Smelter Reference List'!$H$4,$S1261-4,0))</f>
        <v/>
      </c>
      <c r="J1261" s="294" t="str">
        <f ca="1">IF(ISERROR($S1261),"",OFFSET('Smelter Reference List'!$I$4,$S1261-4,0))</f>
        <v/>
      </c>
      <c r="K1261" s="295"/>
      <c r="L1261" s="295"/>
      <c r="M1261" s="295"/>
      <c r="N1261" s="295"/>
      <c r="O1261" s="295"/>
      <c r="P1261" s="295"/>
      <c r="Q1261" s="296"/>
      <c r="R1261" s="227"/>
      <c r="S1261" s="228" t="e">
        <f>IF(C1261="",NA(),MATCH($B1261&amp;$C1261,'Smelter Reference List'!$J:$J,0))</f>
        <v>#N/A</v>
      </c>
      <c r="T1261" s="229"/>
      <c r="U1261" s="229">
        <f t="shared" ca="1" si="40"/>
        <v>0</v>
      </c>
      <c r="V1261" s="229"/>
      <c r="W1261" s="229"/>
      <c r="Y1261" s="223" t="str">
        <f t="shared" si="41"/>
        <v/>
      </c>
    </row>
    <row r="1262" spans="1:25" s="223" customFormat="1" ht="20.25">
      <c r="A1262" s="291"/>
      <c r="B1262" s="292" t="str">
        <f>IF(LEN(A1262)=0,"",INDEX('Smelter Reference List'!$A:$A,MATCH($A1262,'Smelter Reference List'!$E:$E,0)))</f>
        <v/>
      </c>
      <c r="C1262" s="298" t="str">
        <f>IF(LEN(A1262)=0,"",INDEX('Smelter Reference List'!$C:$C,MATCH($A1262,'Smelter Reference List'!$E:$E,0)))</f>
        <v/>
      </c>
      <c r="D1262" s="292" t="str">
        <f ca="1">IF(ISERROR($S1262),"",OFFSET('Smelter Reference List'!$C$4,$S1262-4,0)&amp;"")</f>
        <v/>
      </c>
      <c r="E1262" s="292" t="str">
        <f ca="1">IF(ISERROR($S1262),"",OFFSET('Smelter Reference List'!$D$4,$S1262-4,0)&amp;"")</f>
        <v/>
      </c>
      <c r="F1262" s="292" t="str">
        <f ca="1">IF(ISERROR($S1262),"",OFFSET('Smelter Reference List'!$E$4,$S1262-4,0))</f>
        <v/>
      </c>
      <c r="G1262" s="292" t="str">
        <f ca="1">IF(C1262=$U$4,"Enter smelter details", IF(ISERROR($S1262),"",OFFSET('Smelter Reference List'!$F$4,$S1262-4,0)))</f>
        <v/>
      </c>
      <c r="H1262" s="293" t="str">
        <f ca="1">IF(ISERROR($S1262),"",OFFSET('Smelter Reference List'!$G$4,$S1262-4,0))</f>
        <v/>
      </c>
      <c r="I1262" s="294" t="str">
        <f ca="1">IF(ISERROR($S1262),"",OFFSET('Smelter Reference List'!$H$4,$S1262-4,0))</f>
        <v/>
      </c>
      <c r="J1262" s="294" t="str">
        <f ca="1">IF(ISERROR($S1262),"",OFFSET('Smelter Reference List'!$I$4,$S1262-4,0))</f>
        <v/>
      </c>
      <c r="K1262" s="295"/>
      <c r="L1262" s="295"/>
      <c r="M1262" s="295"/>
      <c r="N1262" s="295"/>
      <c r="O1262" s="295"/>
      <c r="P1262" s="295"/>
      <c r="Q1262" s="296"/>
      <c r="R1262" s="227"/>
      <c r="S1262" s="228" t="e">
        <f>IF(C1262="",NA(),MATCH($B1262&amp;$C1262,'Smelter Reference List'!$J:$J,0))</f>
        <v>#N/A</v>
      </c>
      <c r="T1262" s="229"/>
      <c r="U1262" s="229">
        <f t="shared" ca="1" si="40"/>
        <v>0</v>
      </c>
      <c r="V1262" s="229"/>
      <c r="W1262" s="229"/>
      <c r="Y1262" s="223" t="str">
        <f t="shared" si="41"/>
        <v/>
      </c>
    </row>
    <row r="1263" spans="1:25" s="223" customFormat="1" ht="20.25">
      <c r="A1263" s="291"/>
      <c r="B1263" s="292" t="str">
        <f>IF(LEN(A1263)=0,"",INDEX('Smelter Reference List'!$A:$A,MATCH($A1263,'Smelter Reference List'!$E:$E,0)))</f>
        <v/>
      </c>
      <c r="C1263" s="298" t="str">
        <f>IF(LEN(A1263)=0,"",INDEX('Smelter Reference List'!$C:$C,MATCH($A1263,'Smelter Reference List'!$E:$E,0)))</f>
        <v/>
      </c>
      <c r="D1263" s="292" t="str">
        <f ca="1">IF(ISERROR($S1263),"",OFFSET('Smelter Reference List'!$C$4,$S1263-4,0)&amp;"")</f>
        <v/>
      </c>
      <c r="E1263" s="292" t="str">
        <f ca="1">IF(ISERROR($S1263),"",OFFSET('Smelter Reference List'!$D$4,$S1263-4,0)&amp;"")</f>
        <v/>
      </c>
      <c r="F1263" s="292" t="str">
        <f ca="1">IF(ISERROR($S1263),"",OFFSET('Smelter Reference List'!$E$4,$S1263-4,0))</f>
        <v/>
      </c>
      <c r="G1263" s="292" t="str">
        <f ca="1">IF(C1263=$U$4,"Enter smelter details", IF(ISERROR($S1263),"",OFFSET('Smelter Reference List'!$F$4,$S1263-4,0)))</f>
        <v/>
      </c>
      <c r="H1263" s="293" t="str">
        <f ca="1">IF(ISERROR($S1263),"",OFFSET('Smelter Reference List'!$G$4,$S1263-4,0))</f>
        <v/>
      </c>
      <c r="I1263" s="294" t="str">
        <f ca="1">IF(ISERROR($S1263),"",OFFSET('Smelter Reference List'!$H$4,$S1263-4,0))</f>
        <v/>
      </c>
      <c r="J1263" s="294" t="str">
        <f ca="1">IF(ISERROR($S1263),"",OFFSET('Smelter Reference List'!$I$4,$S1263-4,0))</f>
        <v/>
      </c>
      <c r="K1263" s="295"/>
      <c r="L1263" s="295"/>
      <c r="M1263" s="295"/>
      <c r="N1263" s="295"/>
      <c r="O1263" s="295"/>
      <c r="P1263" s="295"/>
      <c r="Q1263" s="296"/>
      <c r="R1263" s="227"/>
      <c r="S1263" s="228" t="e">
        <f>IF(C1263="",NA(),MATCH($B1263&amp;$C1263,'Smelter Reference List'!$J:$J,0))</f>
        <v>#N/A</v>
      </c>
      <c r="T1263" s="229"/>
      <c r="U1263" s="229">
        <f t="shared" ca="1" si="40"/>
        <v>0</v>
      </c>
      <c r="V1263" s="229"/>
      <c r="W1263" s="229"/>
      <c r="Y1263" s="223" t="str">
        <f t="shared" si="41"/>
        <v/>
      </c>
    </row>
    <row r="1264" spans="1:25" s="223" customFormat="1" ht="20.25">
      <c r="A1264" s="291"/>
      <c r="B1264" s="292" t="str">
        <f>IF(LEN(A1264)=0,"",INDEX('Smelter Reference List'!$A:$A,MATCH($A1264,'Smelter Reference List'!$E:$E,0)))</f>
        <v/>
      </c>
      <c r="C1264" s="298" t="str">
        <f>IF(LEN(A1264)=0,"",INDEX('Smelter Reference List'!$C:$C,MATCH($A1264,'Smelter Reference List'!$E:$E,0)))</f>
        <v/>
      </c>
      <c r="D1264" s="292" t="str">
        <f ca="1">IF(ISERROR($S1264),"",OFFSET('Smelter Reference List'!$C$4,$S1264-4,0)&amp;"")</f>
        <v/>
      </c>
      <c r="E1264" s="292" t="str">
        <f ca="1">IF(ISERROR($S1264),"",OFFSET('Smelter Reference List'!$D$4,$S1264-4,0)&amp;"")</f>
        <v/>
      </c>
      <c r="F1264" s="292" t="str">
        <f ca="1">IF(ISERROR($S1264),"",OFFSET('Smelter Reference List'!$E$4,$S1264-4,0))</f>
        <v/>
      </c>
      <c r="G1264" s="292" t="str">
        <f ca="1">IF(C1264=$U$4,"Enter smelter details", IF(ISERROR($S1264),"",OFFSET('Smelter Reference List'!$F$4,$S1264-4,0)))</f>
        <v/>
      </c>
      <c r="H1264" s="293" t="str">
        <f ca="1">IF(ISERROR($S1264),"",OFFSET('Smelter Reference List'!$G$4,$S1264-4,0))</f>
        <v/>
      </c>
      <c r="I1264" s="294" t="str">
        <f ca="1">IF(ISERROR($S1264),"",OFFSET('Smelter Reference List'!$H$4,$S1264-4,0))</f>
        <v/>
      </c>
      <c r="J1264" s="294" t="str">
        <f ca="1">IF(ISERROR($S1264),"",OFFSET('Smelter Reference List'!$I$4,$S1264-4,0))</f>
        <v/>
      </c>
      <c r="K1264" s="295"/>
      <c r="L1264" s="295"/>
      <c r="M1264" s="295"/>
      <c r="N1264" s="295"/>
      <c r="O1264" s="295"/>
      <c r="P1264" s="295"/>
      <c r="Q1264" s="296"/>
      <c r="R1264" s="227"/>
      <c r="S1264" s="228" t="e">
        <f>IF(C1264="",NA(),MATCH($B1264&amp;$C1264,'Smelter Reference List'!$J:$J,0))</f>
        <v>#N/A</v>
      </c>
      <c r="T1264" s="229"/>
      <c r="U1264" s="229">
        <f t="shared" ca="1" si="40"/>
        <v>0</v>
      </c>
      <c r="V1264" s="229"/>
      <c r="W1264" s="229"/>
      <c r="Y1264" s="223" t="str">
        <f t="shared" si="41"/>
        <v/>
      </c>
    </row>
    <row r="1265" spans="1:25" s="223" customFormat="1" ht="20.25">
      <c r="A1265" s="291"/>
      <c r="B1265" s="292" t="str">
        <f>IF(LEN(A1265)=0,"",INDEX('Smelter Reference List'!$A:$A,MATCH($A1265,'Smelter Reference List'!$E:$E,0)))</f>
        <v/>
      </c>
      <c r="C1265" s="298" t="str">
        <f>IF(LEN(A1265)=0,"",INDEX('Smelter Reference List'!$C:$C,MATCH($A1265,'Smelter Reference List'!$E:$E,0)))</f>
        <v/>
      </c>
      <c r="D1265" s="292" t="str">
        <f ca="1">IF(ISERROR($S1265),"",OFFSET('Smelter Reference List'!$C$4,$S1265-4,0)&amp;"")</f>
        <v/>
      </c>
      <c r="E1265" s="292" t="str">
        <f ca="1">IF(ISERROR($S1265),"",OFFSET('Smelter Reference List'!$D$4,$S1265-4,0)&amp;"")</f>
        <v/>
      </c>
      <c r="F1265" s="292" t="str">
        <f ca="1">IF(ISERROR($S1265),"",OFFSET('Smelter Reference List'!$E$4,$S1265-4,0))</f>
        <v/>
      </c>
      <c r="G1265" s="292" t="str">
        <f ca="1">IF(C1265=$U$4,"Enter smelter details", IF(ISERROR($S1265),"",OFFSET('Smelter Reference List'!$F$4,$S1265-4,0)))</f>
        <v/>
      </c>
      <c r="H1265" s="293" t="str">
        <f ca="1">IF(ISERROR($S1265),"",OFFSET('Smelter Reference List'!$G$4,$S1265-4,0))</f>
        <v/>
      </c>
      <c r="I1265" s="294" t="str">
        <f ca="1">IF(ISERROR($S1265),"",OFFSET('Smelter Reference List'!$H$4,$S1265-4,0))</f>
        <v/>
      </c>
      <c r="J1265" s="294" t="str">
        <f ca="1">IF(ISERROR($S1265),"",OFFSET('Smelter Reference List'!$I$4,$S1265-4,0))</f>
        <v/>
      </c>
      <c r="K1265" s="295"/>
      <c r="L1265" s="295"/>
      <c r="M1265" s="295"/>
      <c r="N1265" s="295"/>
      <c r="O1265" s="295"/>
      <c r="P1265" s="295"/>
      <c r="Q1265" s="296"/>
      <c r="R1265" s="227"/>
      <c r="S1265" s="228" t="e">
        <f>IF(C1265="",NA(),MATCH($B1265&amp;$C1265,'Smelter Reference List'!$J:$J,0))</f>
        <v>#N/A</v>
      </c>
      <c r="T1265" s="229"/>
      <c r="U1265" s="229">
        <f t="shared" ca="1" si="40"/>
        <v>0</v>
      </c>
      <c r="V1265" s="229"/>
      <c r="W1265" s="229"/>
      <c r="Y1265" s="223" t="str">
        <f t="shared" si="41"/>
        <v/>
      </c>
    </row>
    <row r="1266" spans="1:25" s="223" customFormat="1" ht="20.25">
      <c r="A1266" s="291"/>
      <c r="B1266" s="292" t="str">
        <f>IF(LEN(A1266)=0,"",INDEX('Smelter Reference List'!$A:$A,MATCH($A1266,'Smelter Reference List'!$E:$E,0)))</f>
        <v/>
      </c>
      <c r="C1266" s="298" t="str">
        <f>IF(LEN(A1266)=0,"",INDEX('Smelter Reference List'!$C:$C,MATCH($A1266,'Smelter Reference List'!$E:$E,0)))</f>
        <v/>
      </c>
      <c r="D1266" s="292" t="str">
        <f ca="1">IF(ISERROR($S1266),"",OFFSET('Smelter Reference List'!$C$4,$S1266-4,0)&amp;"")</f>
        <v/>
      </c>
      <c r="E1266" s="292" t="str">
        <f ca="1">IF(ISERROR($S1266),"",OFFSET('Smelter Reference List'!$D$4,$S1266-4,0)&amp;"")</f>
        <v/>
      </c>
      <c r="F1266" s="292" t="str">
        <f ca="1">IF(ISERROR($S1266),"",OFFSET('Smelter Reference List'!$E$4,$S1266-4,0))</f>
        <v/>
      </c>
      <c r="G1266" s="292" t="str">
        <f ca="1">IF(C1266=$U$4,"Enter smelter details", IF(ISERROR($S1266),"",OFFSET('Smelter Reference List'!$F$4,$S1266-4,0)))</f>
        <v/>
      </c>
      <c r="H1266" s="293" t="str">
        <f ca="1">IF(ISERROR($S1266),"",OFFSET('Smelter Reference List'!$G$4,$S1266-4,0))</f>
        <v/>
      </c>
      <c r="I1266" s="294" t="str">
        <f ca="1">IF(ISERROR($S1266),"",OFFSET('Smelter Reference List'!$H$4,$S1266-4,0))</f>
        <v/>
      </c>
      <c r="J1266" s="294" t="str">
        <f ca="1">IF(ISERROR($S1266),"",OFFSET('Smelter Reference List'!$I$4,$S1266-4,0))</f>
        <v/>
      </c>
      <c r="K1266" s="295"/>
      <c r="L1266" s="295"/>
      <c r="M1266" s="295"/>
      <c r="N1266" s="295"/>
      <c r="O1266" s="295"/>
      <c r="P1266" s="295"/>
      <c r="Q1266" s="296"/>
      <c r="R1266" s="227"/>
      <c r="S1266" s="228" t="e">
        <f>IF(C1266="",NA(),MATCH($B1266&amp;$C1266,'Smelter Reference List'!$J:$J,0))</f>
        <v>#N/A</v>
      </c>
      <c r="T1266" s="229"/>
      <c r="U1266" s="229">
        <f t="shared" ca="1" si="40"/>
        <v>0</v>
      </c>
      <c r="V1266" s="229"/>
      <c r="W1266" s="229"/>
      <c r="Y1266" s="223" t="str">
        <f t="shared" si="41"/>
        <v/>
      </c>
    </row>
    <row r="1267" spans="1:25" s="223" customFormat="1" ht="20.25">
      <c r="A1267" s="291"/>
      <c r="B1267" s="292" t="str">
        <f>IF(LEN(A1267)=0,"",INDEX('Smelter Reference List'!$A:$A,MATCH($A1267,'Smelter Reference List'!$E:$E,0)))</f>
        <v/>
      </c>
      <c r="C1267" s="298" t="str">
        <f>IF(LEN(A1267)=0,"",INDEX('Smelter Reference List'!$C:$C,MATCH($A1267,'Smelter Reference List'!$E:$E,0)))</f>
        <v/>
      </c>
      <c r="D1267" s="292" t="str">
        <f ca="1">IF(ISERROR($S1267),"",OFFSET('Smelter Reference List'!$C$4,$S1267-4,0)&amp;"")</f>
        <v/>
      </c>
      <c r="E1267" s="292" t="str">
        <f ca="1">IF(ISERROR($S1267),"",OFFSET('Smelter Reference List'!$D$4,$S1267-4,0)&amp;"")</f>
        <v/>
      </c>
      <c r="F1267" s="292" t="str">
        <f ca="1">IF(ISERROR($S1267),"",OFFSET('Smelter Reference List'!$E$4,$S1267-4,0))</f>
        <v/>
      </c>
      <c r="G1267" s="292" t="str">
        <f ca="1">IF(C1267=$U$4,"Enter smelter details", IF(ISERROR($S1267),"",OFFSET('Smelter Reference List'!$F$4,$S1267-4,0)))</f>
        <v/>
      </c>
      <c r="H1267" s="293" t="str">
        <f ca="1">IF(ISERROR($S1267),"",OFFSET('Smelter Reference List'!$G$4,$S1267-4,0))</f>
        <v/>
      </c>
      <c r="I1267" s="294" t="str">
        <f ca="1">IF(ISERROR($S1267),"",OFFSET('Smelter Reference List'!$H$4,$S1267-4,0))</f>
        <v/>
      </c>
      <c r="J1267" s="294" t="str">
        <f ca="1">IF(ISERROR($S1267),"",OFFSET('Smelter Reference List'!$I$4,$S1267-4,0))</f>
        <v/>
      </c>
      <c r="K1267" s="295"/>
      <c r="L1267" s="295"/>
      <c r="M1267" s="295"/>
      <c r="N1267" s="295"/>
      <c r="O1267" s="295"/>
      <c r="P1267" s="295"/>
      <c r="Q1267" s="296"/>
      <c r="R1267" s="227"/>
      <c r="S1267" s="228" t="e">
        <f>IF(C1267="",NA(),MATCH($B1267&amp;$C1267,'Smelter Reference List'!$J:$J,0))</f>
        <v>#N/A</v>
      </c>
      <c r="T1267" s="229"/>
      <c r="U1267" s="229">
        <f t="shared" ca="1" si="40"/>
        <v>0</v>
      </c>
      <c r="V1267" s="229"/>
      <c r="W1267" s="229"/>
      <c r="Y1267" s="223" t="str">
        <f t="shared" si="41"/>
        <v/>
      </c>
    </row>
    <row r="1268" spans="1:25" s="223" customFormat="1" ht="20.25">
      <c r="A1268" s="291"/>
      <c r="B1268" s="292" t="str">
        <f>IF(LEN(A1268)=0,"",INDEX('Smelter Reference List'!$A:$A,MATCH($A1268,'Smelter Reference List'!$E:$E,0)))</f>
        <v/>
      </c>
      <c r="C1268" s="298" t="str">
        <f>IF(LEN(A1268)=0,"",INDEX('Smelter Reference List'!$C:$C,MATCH($A1268,'Smelter Reference List'!$E:$E,0)))</f>
        <v/>
      </c>
      <c r="D1268" s="292" t="str">
        <f ca="1">IF(ISERROR($S1268),"",OFFSET('Smelter Reference List'!$C$4,$S1268-4,0)&amp;"")</f>
        <v/>
      </c>
      <c r="E1268" s="292" t="str">
        <f ca="1">IF(ISERROR($S1268),"",OFFSET('Smelter Reference List'!$D$4,$S1268-4,0)&amp;"")</f>
        <v/>
      </c>
      <c r="F1268" s="292" t="str">
        <f ca="1">IF(ISERROR($S1268),"",OFFSET('Smelter Reference List'!$E$4,$S1268-4,0))</f>
        <v/>
      </c>
      <c r="G1268" s="292" t="str">
        <f ca="1">IF(C1268=$U$4,"Enter smelter details", IF(ISERROR($S1268),"",OFFSET('Smelter Reference List'!$F$4,$S1268-4,0)))</f>
        <v/>
      </c>
      <c r="H1268" s="293" t="str">
        <f ca="1">IF(ISERROR($S1268),"",OFFSET('Smelter Reference List'!$G$4,$S1268-4,0))</f>
        <v/>
      </c>
      <c r="I1268" s="294" t="str">
        <f ca="1">IF(ISERROR($S1268),"",OFFSET('Smelter Reference List'!$H$4,$S1268-4,0))</f>
        <v/>
      </c>
      <c r="J1268" s="294" t="str">
        <f ca="1">IF(ISERROR($S1268),"",OFFSET('Smelter Reference List'!$I$4,$S1268-4,0))</f>
        <v/>
      </c>
      <c r="K1268" s="295"/>
      <c r="L1268" s="295"/>
      <c r="M1268" s="295"/>
      <c r="N1268" s="295"/>
      <c r="O1268" s="295"/>
      <c r="P1268" s="295"/>
      <c r="Q1268" s="296"/>
      <c r="R1268" s="227"/>
      <c r="S1268" s="228" t="e">
        <f>IF(C1268="",NA(),MATCH($B1268&amp;$C1268,'Smelter Reference List'!$J:$J,0))</f>
        <v>#N/A</v>
      </c>
      <c r="T1268" s="229"/>
      <c r="U1268" s="229">
        <f t="shared" ca="1" si="40"/>
        <v>0</v>
      </c>
      <c r="V1268" s="229"/>
      <c r="W1268" s="229"/>
      <c r="Y1268" s="223" t="str">
        <f t="shared" si="41"/>
        <v/>
      </c>
    </row>
    <row r="1269" spans="1:25" s="223" customFormat="1" ht="20.25">
      <c r="A1269" s="291"/>
      <c r="B1269" s="292" t="str">
        <f>IF(LEN(A1269)=0,"",INDEX('Smelter Reference List'!$A:$A,MATCH($A1269,'Smelter Reference List'!$E:$E,0)))</f>
        <v/>
      </c>
      <c r="C1269" s="298" t="str">
        <f>IF(LEN(A1269)=0,"",INDEX('Smelter Reference List'!$C:$C,MATCH($A1269,'Smelter Reference List'!$E:$E,0)))</f>
        <v/>
      </c>
      <c r="D1269" s="292" t="str">
        <f ca="1">IF(ISERROR($S1269),"",OFFSET('Smelter Reference List'!$C$4,$S1269-4,0)&amp;"")</f>
        <v/>
      </c>
      <c r="E1269" s="292" t="str">
        <f ca="1">IF(ISERROR($S1269),"",OFFSET('Smelter Reference List'!$D$4,$S1269-4,0)&amp;"")</f>
        <v/>
      </c>
      <c r="F1269" s="292" t="str">
        <f ca="1">IF(ISERROR($S1269),"",OFFSET('Smelter Reference List'!$E$4,$S1269-4,0))</f>
        <v/>
      </c>
      <c r="G1269" s="292" t="str">
        <f ca="1">IF(C1269=$U$4,"Enter smelter details", IF(ISERROR($S1269),"",OFFSET('Smelter Reference List'!$F$4,$S1269-4,0)))</f>
        <v/>
      </c>
      <c r="H1269" s="293" t="str">
        <f ca="1">IF(ISERROR($S1269),"",OFFSET('Smelter Reference List'!$G$4,$S1269-4,0))</f>
        <v/>
      </c>
      <c r="I1269" s="294" t="str">
        <f ca="1">IF(ISERROR($S1269),"",OFFSET('Smelter Reference List'!$H$4,$S1269-4,0))</f>
        <v/>
      </c>
      <c r="J1269" s="294" t="str">
        <f ca="1">IF(ISERROR($S1269),"",OFFSET('Smelter Reference List'!$I$4,$S1269-4,0))</f>
        <v/>
      </c>
      <c r="K1269" s="295"/>
      <c r="L1269" s="295"/>
      <c r="M1269" s="295"/>
      <c r="N1269" s="295"/>
      <c r="O1269" s="295"/>
      <c r="P1269" s="295"/>
      <c r="Q1269" s="296"/>
      <c r="R1269" s="227"/>
      <c r="S1269" s="228" t="e">
        <f>IF(C1269="",NA(),MATCH($B1269&amp;$C1269,'Smelter Reference List'!$J:$J,0))</f>
        <v>#N/A</v>
      </c>
      <c r="T1269" s="229"/>
      <c r="U1269" s="229">
        <f t="shared" ca="1" si="40"/>
        <v>0</v>
      </c>
      <c r="V1269" s="229"/>
      <c r="W1269" s="229"/>
      <c r="Y1269" s="223" t="str">
        <f t="shared" si="41"/>
        <v/>
      </c>
    </row>
    <row r="1270" spans="1:25" s="223" customFormat="1" ht="20.25">
      <c r="A1270" s="291"/>
      <c r="B1270" s="292" t="str">
        <f>IF(LEN(A1270)=0,"",INDEX('Smelter Reference List'!$A:$A,MATCH($A1270,'Smelter Reference List'!$E:$E,0)))</f>
        <v/>
      </c>
      <c r="C1270" s="298" t="str">
        <f>IF(LEN(A1270)=0,"",INDEX('Smelter Reference List'!$C:$C,MATCH($A1270,'Smelter Reference List'!$E:$E,0)))</f>
        <v/>
      </c>
      <c r="D1270" s="292" t="str">
        <f ca="1">IF(ISERROR($S1270),"",OFFSET('Smelter Reference List'!$C$4,$S1270-4,0)&amp;"")</f>
        <v/>
      </c>
      <c r="E1270" s="292" t="str">
        <f ca="1">IF(ISERROR($S1270),"",OFFSET('Smelter Reference List'!$D$4,$S1270-4,0)&amp;"")</f>
        <v/>
      </c>
      <c r="F1270" s="292" t="str">
        <f ca="1">IF(ISERROR($S1270),"",OFFSET('Smelter Reference List'!$E$4,$S1270-4,0))</f>
        <v/>
      </c>
      <c r="G1270" s="292" t="str">
        <f ca="1">IF(C1270=$U$4,"Enter smelter details", IF(ISERROR($S1270),"",OFFSET('Smelter Reference List'!$F$4,$S1270-4,0)))</f>
        <v/>
      </c>
      <c r="H1270" s="293" t="str">
        <f ca="1">IF(ISERROR($S1270),"",OFFSET('Smelter Reference List'!$G$4,$S1270-4,0))</f>
        <v/>
      </c>
      <c r="I1270" s="294" t="str">
        <f ca="1">IF(ISERROR($S1270),"",OFFSET('Smelter Reference List'!$H$4,$S1270-4,0))</f>
        <v/>
      </c>
      <c r="J1270" s="294" t="str">
        <f ca="1">IF(ISERROR($S1270),"",OFFSET('Smelter Reference List'!$I$4,$S1270-4,0))</f>
        <v/>
      </c>
      <c r="K1270" s="295"/>
      <c r="L1270" s="295"/>
      <c r="M1270" s="295"/>
      <c r="N1270" s="295"/>
      <c r="O1270" s="295"/>
      <c r="P1270" s="295"/>
      <c r="Q1270" s="296"/>
      <c r="R1270" s="227"/>
      <c r="S1270" s="228" t="e">
        <f>IF(C1270="",NA(),MATCH($B1270&amp;$C1270,'Smelter Reference List'!$J:$J,0))</f>
        <v>#N/A</v>
      </c>
      <c r="T1270" s="229"/>
      <c r="U1270" s="229">
        <f t="shared" ca="1" si="40"/>
        <v>0</v>
      </c>
      <c r="V1270" s="229"/>
      <c r="W1270" s="229"/>
      <c r="Y1270" s="223" t="str">
        <f t="shared" si="41"/>
        <v/>
      </c>
    </row>
    <row r="1271" spans="1:25" s="223" customFormat="1" ht="20.25">
      <c r="A1271" s="291"/>
      <c r="B1271" s="292" t="str">
        <f>IF(LEN(A1271)=0,"",INDEX('Smelter Reference List'!$A:$A,MATCH($A1271,'Smelter Reference List'!$E:$E,0)))</f>
        <v/>
      </c>
      <c r="C1271" s="298" t="str">
        <f>IF(LEN(A1271)=0,"",INDEX('Smelter Reference List'!$C:$C,MATCH($A1271,'Smelter Reference List'!$E:$E,0)))</f>
        <v/>
      </c>
      <c r="D1271" s="292" t="str">
        <f ca="1">IF(ISERROR($S1271),"",OFFSET('Smelter Reference List'!$C$4,$S1271-4,0)&amp;"")</f>
        <v/>
      </c>
      <c r="E1271" s="292" t="str">
        <f ca="1">IF(ISERROR($S1271),"",OFFSET('Smelter Reference List'!$D$4,$S1271-4,0)&amp;"")</f>
        <v/>
      </c>
      <c r="F1271" s="292" t="str">
        <f ca="1">IF(ISERROR($S1271),"",OFFSET('Smelter Reference List'!$E$4,$S1271-4,0))</f>
        <v/>
      </c>
      <c r="G1271" s="292" t="str">
        <f ca="1">IF(C1271=$U$4,"Enter smelter details", IF(ISERROR($S1271),"",OFFSET('Smelter Reference List'!$F$4,$S1271-4,0)))</f>
        <v/>
      </c>
      <c r="H1271" s="293" t="str">
        <f ca="1">IF(ISERROR($S1271),"",OFFSET('Smelter Reference List'!$G$4,$S1271-4,0))</f>
        <v/>
      </c>
      <c r="I1271" s="294" t="str">
        <f ca="1">IF(ISERROR($S1271),"",OFFSET('Smelter Reference List'!$H$4,$S1271-4,0))</f>
        <v/>
      </c>
      <c r="J1271" s="294" t="str">
        <f ca="1">IF(ISERROR($S1271),"",OFFSET('Smelter Reference List'!$I$4,$S1271-4,0))</f>
        <v/>
      </c>
      <c r="K1271" s="295"/>
      <c r="L1271" s="295"/>
      <c r="M1271" s="295"/>
      <c r="N1271" s="295"/>
      <c r="O1271" s="295"/>
      <c r="P1271" s="295"/>
      <c r="Q1271" s="296"/>
      <c r="R1271" s="227"/>
      <c r="S1271" s="228" t="e">
        <f>IF(C1271="",NA(),MATCH($B1271&amp;$C1271,'Smelter Reference List'!$J:$J,0))</f>
        <v>#N/A</v>
      </c>
      <c r="T1271" s="229"/>
      <c r="U1271" s="229">
        <f t="shared" ca="1" si="40"/>
        <v>0</v>
      </c>
      <c r="V1271" s="229"/>
      <c r="W1271" s="229"/>
      <c r="Y1271" s="223" t="str">
        <f t="shared" si="41"/>
        <v/>
      </c>
    </row>
    <row r="1272" spans="1:25" s="223" customFormat="1" ht="20.25">
      <c r="A1272" s="291"/>
      <c r="B1272" s="292" t="str">
        <f>IF(LEN(A1272)=0,"",INDEX('Smelter Reference List'!$A:$A,MATCH($A1272,'Smelter Reference List'!$E:$E,0)))</f>
        <v/>
      </c>
      <c r="C1272" s="298" t="str">
        <f>IF(LEN(A1272)=0,"",INDEX('Smelter Reference List'!$C:$C,MATCH($A1272,'Smelter Reference List'!$E:$E,0)))</f>
        <v/>
      </c>
      <c r="D1272" s="292" t="str">
        <f ca="1">IF(ISERROR($S1272),"",OFFSET('Smelter Reference List'!$C$4,$S1272-4,0)&amp;"")</f>
        <v/>
      </c>
      <c r="E1272" s="292" t="str">
        <f ca="1">IF(ISERROR($S1272),"",OFFSET('Smelter Reference List'!$D$4,$S1272-4,0)&amp;"")</f>
        <v/>
      </c>
      <c r="F1272" s="292" t="str">
        <f ca="1">IF(ISERROR($S1272),"",OFFSET('Smelter Reference List'!$E$4,$S1272-4,0))</f>
        <v/>
      </c>
      <c r="G1272" s="292" t="str">
        <f ca="1">IF(C1272=$U$4,"Enter smelter details", IF(ISERROR($S1272),"",OFFSET('Smelter Reference List'!$F$4,$S1272-4,0)))</f>
        <v/>
      </c>
      <c r="H1272" s="293" t="str">
        <f ca="1">IF(ISERROR($S1272),"",OFFSET('Smelter Reference List'!$G$4,$S1272-4,0))</f>
        <v/>
      </c>
      <c r="I1272" s="294" t="str">
        <f ca="1">IF(ISERROR($S1272),"",OFFSET('Smelter Reference List'!$H$4,$S1272-4,0))</f>
        <v/>
      </c>
      <c r="J1272" s="294" t="str">
        <f ca="1">IF(ISERROR($S1272),"",OFFSET('Smelter Reference List'!$I$4,$S1272-4,0))</f>
        <v/>
      </c>
      <c r="K1272" s="295"/>
      <c r="L1272" s="295"/>
      <c r="M1272" s="295"/>
      <c r="N1272" s="295"/>
      <c r="O1272" s="295"/>
      <c r="P1272" s="295"/>
      <c r="Q1272" s="296"/>
      <c r="R1272" s="227"/>
      <c r="S1272" s="228" t="e">
        <f>IF(C1272="",NA(),MATCH($B1272&amp;$C1272,'Smelter Reference List'!$J:$J,0))</f>
        <v>#N/A</v>
      </c>
      <c r="T1272" s="229"/>
      <c r="U1272" s="229">
        <f t="shared" ca="1" si="40"/>
        <v>0</v>
      </c>
      <c r="V1272" s="229"/>
      <c r="W1272" s="229"/>
      <c r="Y1272" s="223" t="str">
        <f t="shared" si="41"/>
        <v/>
      </c>
    </row>
    <row r="1273" spans="1:25" s="223" customFormat="1" ht="20.25">
      <c r="A1273" s="291"/>
      <c r="B1273" s="292" t="str">
        <f>IF(LEN(A1273)=0,"",INDEX('Smelter Reference List'!$A:$A,MATCH($A1273,'Smelter Reference List'!$E:$E,0)))</f>
        <v/>
      </c>
      <c r="C1273" s="298" t="str">
        <f>IF(LEN(A1273)=0,"",INDEX('Smelter Reference List'!$C:$C,MATCH($A1273,'Smelter Reference List'!$E:$E,0)))</f>
        <v/>
      </c>
      <c r="D1273" s="292" t="str">
        <f ca="1">IF(ISERROR($S1273),"",OFFSET('Smelter Reference List'!$C$4,$S1273-4,0)&amp;"")</f>
        <v/>
      </c>
      <c r="E1273" s="292" t="str">
        <f ca="1">IF(ISERROR($S1273),"",OFFSET('Smelter Reference List'!$D$4,$S1273-4,0)&amp;"")</f>
        <v/>
      </c>
      <c r="F1273" s="292" t="str">
        <f ca="1">IF(ISERROR($S1273),"",OFFSET('Smelter Reference List'!$E$4,$S1273-4,0))</f>
        <v/>
      </c>
      <c r="G1273" s="292" t="str">
        <f ca="1">IF(C1273=$U$4,"Enter smelter details", IF(ISERROR($S1273),"",OFFSET('Smelter Reference List'!$F$4,$S1273-4,0)))</f>
        <v/>
      </c>
      <c r="H1273" s="293" t="str">
        <f ca="1">IF(ISERROR($S1273),"",OFFSET('Smelter Reference List'!$G$4,$S1273-4,0))</f>
        <v/>
      </c>
      <c r="I1273" s="294" t="str">
        <f ca="1">IF(ISERROR($S1273),"",OFFSET('Smelter Reference List'!$H$4,$S1273-4,0))</f>
        <v/>
      </c>
      <c r="J1273" s="294" t="str">
        <f ca="1">IF(ISERROR($S1273),"",OFFSET('Smelter Reference List'!$I$4,$S1273-4,0))</f>
        <v/>
      </c>
      <c r="K1273" s="295"/>
      <c r="L1273" s="295"/>
      <c r="M1273" s="295"/>
      <c r="N1273" s="295"/>
      <c r="O1273" s="295"/>
      <c r="P1273" s="295"/>
      <c r="Q1273" s="296"/>
      <c r="R1273" s="227"/>
      <c r="S1273" s="228" t="e">
        <f>IF(C1273="",NA(),MATCH($B1273&amp;$C1273,'Smelter Reference List'!$J:$J,0))</f>
        <v>#N/A</v>
      </c>
      <c r="T1273" s="229"/>
      <c r="U1273" s="229">
        <f t="shared" ca="1" si="40"/>
        <v>0</v>
      </c>
      <c r="V1273" s="229"/>
      <c r="W1273" s="229"/>
      <c r="Y1273" s="223" t="str">
        <f t="shared" si="41"/>
        <v/>
      </c>
    </row>
    <row r="1274" spans="1:25" s="223" customFormat="1" ht="20.25">
      <c r="A1274" s="291"/>
      <c r="B1274" s="292" t="str">
        <f>IF(LEN(A1274)=0,"",INDEX('Smelter Reference List'!$A:$A,MATCH($A1274,'Smelter Reference List'!$E:$E,0)))</f>
        <v/>
      </c>
      <c r="C1274" s="298" t="str">
        <f>IF(LEN(A1274)=0,"",INDEX('Smelter Reference List'!$C:$C,MATCH($A1274,'Smelter Reference List'!$E:$E,0)))</f>
        <v/>
      </c>
      <c r="D1274" s="292" t="str">
        <f ca="1">IF(ISERROR($S1274),"",OFFSET('Smelter Reference List'!$C$4,$S1274-4,0)&amp;"")</f>
        <v/>
      </c>
      <c r="E1274" s="292" t="str">
        <f ca="1">IF(ISERROR($S1274),"",OFFSET('Smelter Reference List'!$D$4,$S1274-4,0)&amp;"")</f>
        <v/>
      </c>
      <c r="F1274" s="292" t="str">
        <f ca="1">IF(ISERROR($S1274),"",OFFSET('Smelter Reference List'!$E$4,$S1274-4,0))</f>
        <v/>
      </c>
      <c r="G1274" s="292" t="str">
        <f ca="1">IF(C1274=$U$4,"Enter smelter details", IF(ISERROR($S1274),"",OFFSET('Smelter Reference List'!$F$4,$S1274-4,0)))</f>
        <v/>
      </c>
      <c r="H1274" s="293" t="str">
        <f ca="1">IF(ISERROR($S1274),"",OFFSET('Smelter Reference List'!$G$4,$S1274-4,0))</f>
        <v/>
      </c>
      <c r="I1274" s="294" t="str">
        <f ca="1">IF(ISERROR($S1274),"",OFFSET('Smelter Reference List'!$H$4,$S1274-4,0))</f>
        <v/>
      </c>
      <c r="J1274" s="294" t="str">
        <f ca="1">IF(ISERROR($S1274),"",OFFSET('Smelter Reference List'!$I$4,$S1274-4,0))</f>
        <v/>
      </c>
      <c r="K1274" s="295"/>
      <c r="L1274" s="295"/>
      <c r="M1274" s="295"/>
      <c r="N1274" s="295"/>
      <c r="O1274" s="295"/>
      <c r="P1274" s="295"/>
      <c r="Q1274" s="296"/>
      <c r="R1274" s="227"/>
      <c r="S1274" s="228" t="e">
        <f>IF(C1274="",NA(),MATCH($B1274&amp;$C1274,'Smelter Reference List'!$J:$J,0))</f>
        <v>#N/A</v>
      </c>
      <c r="T1274" s="229"/>
      <c r="U1274" s="229">
        <f t="shared" ca="1" si="40"/>
        <v>0</v>
      </c>
      <c r="V1274" s="229"/>
      <c r="W1274" s="229"/>
      <c r="Y1274" s="223" t="str">
        <f t="shared" si="41"/>
        <v/>
      </c>
    </row>
    <row r="1275" spans="1:25" s="223" customFormat="1" ht="20.25">
      <c r="A1275" s="291"/>
      <c r="B1275" s="292" t="str">
        <f>IF(LEN(A1275)=0,"",INDEX('Smelter Reference List'!$A:$A,MATCH($A1275,'Smelter Reference List'!$E:$E,0)))</f>
        <v/>
      </c>
      <c r="C1275" s="298" t="str">
        <f>IF(LEN(A1275)=0,"",INDEX('Smelter Reference List'!$C:$C,MATCH($A1275,'Smelter Reference List'!$E:$E,0)))</f>
        <v/>
      </c>
      <c r="D1275" s="292" t="str">
        <f ca="1">IF(ISERROR($S1275),"",OFFSET('Smelter Reference List'!$C$4,$S1275-4,0)&amp;"")</f>
        <v/>
      </c>
      <c r="E1275" s="292" t="str">
        <f ca="1">IF(ISERROR($S1275),"",OFFSET('Smelter Reference List'!$D$4,$S1275-4,0)&amp;"")</f>
        <v/>
      </c>
      <c r="F1275" s="292" t="str">
        <f ca="1">IF(ISERROR($S1275),"",OFFSET('Smelter Reference List'!$E$4,$S1275-4,0))</f>
        <v/>
      </c>
      <c r="G1275" s="292" t="str">
        <f ca="1">IF(C1275=$U$4,"Enter smelter details", IF(ISERROR($S1275),"",OFFSET('Smelter Reference List'!$F$4,$S1275-4,0)))</f>
        <v/>
      </c>
      <c r="H1275" s="293" t="str">
        <f ca="1">IF(ISERROR($S1275),"",OFFSET('Smelter Reference List'!$G$4,$S1275-4,0))</f>
        <v/>
      </c>
      <c r="I1275" s="294" t="str">
        <f ca="1">IF(ISERROR($S1275),"",OFFSET('Smelter Reference List'!$H$4,$S1275-4,0))</f>
        <v/>
      </c>
      <c r="J1275" s="294" t="str">
        <f ca="1">IF(ISERROR($S1275),"",OFFSET('Smelter Reference List'!$I$4,$S1275-4,0))</f>
        <v/>
      </c>
      <c r="K1275" s="295"/>
      <c r="L1275" s="295"/>
      <c r="M1275" s="295"/>
      <c r="N1275" s="295"/>
      <c r="O1275" s="295"/>
      <c r="P1275" s="295"/>
      <c r="Q1275" s="296"/>
      <c r="R1275" s="227"/>
      <c r="S1275" s="228" t="e">
        <f>IF(C1275="",NA(),MATCH($B1275&amp;$C1275,'Smelter Reference List'!$J:$J,0))</f>
        <v>#N/A</v>
      </c>
      <c r="T1275" s="229"/>
      <c r="U1275" s="229">
        <f t="shared" ca="1" si="40"/>
        <v>0</v>
      </c>
      <c r="V1275" s="229"/>
      <c r="W1275" s="229"/>
      <c r="Y1275" s="223" t="str">
        <f t="shared" si="41"/>
        <v/>
      </c>
    </row>
    <row r="1276" spans="1:25" s="223" customFormat="1" ht="20.25">
      <c r="A1276" s="291"/>
      <c r="B1276" s="292" t="str">
        <f>IF(LEN(A1276)=0,"",INDEX('Smelter Reference List'!$A:$A,MATCH($A1276,'Smelter Reference List'!$E:$E,0)))</f>
        <v/>
      </c>
      <c r="C1276" s="298" t="str">
        <f>IF(LEN(A1276)=0,"",INDEX('Smelter Reference List'!$C:$C,MATCH($A1276,'Smelter Reference List'!$E:$E,0)))</f>
        <v/>
      </c>
      <c r="D1276" s="292" t="str">
        <f ca="1">IF(ISERROR($S1276),"",OFFSET('Smelter Reference List'!$C$4,$S1276-4,0)&amp;"")</f>
        <v/>
      </c>
      <c r="E1276" s="292" t="str">
        <f ca="1">IF(ISERROR($S1276),"",OFFSET('Smelter Reference List'!$D$4,$S1276-4,0)&amp;"")</f>
        <v/>
      </c>
      <c r="F1276" s="292" t="str">
        <f ca="1">IF(ISERROR($S1276),"",OFFSET('Smelter Reference List'!$E$4,$S1276-4,0))</f>
        <v/>
      </c>
      <c r="G1276" s="292" t="str">
        <f ca="1">IF(C1276=$U$4,"Enter smelter details", IF(ISERROR($S1276),"",OFFSET('Smelter Reference List'!$F$4,$S1276-4,0)))</f>
        <v/>
      </c>
      <c r="H1276" s="293" t="str">
        <f ca="1">IF(ISERROR($S1276),"",OFFSET('Smelter Reference List'!$G$4,$S1276-4,0))</f>
        <v/>
      </c>
      <c r="I1276" s="294" t="str">
        <f ca="1">IF(ISERROR($S1276),"",OFFSET('Smelter Reference List'!$H$4,$S1276-4,0))</f>
        <v/>
      </c>
      <c r="J1276" s="294" t="str">
        <f ca="1">IF(ISERROR($S1276),"",OFFSET('Smelter Reference List'!$I$4,$S1276-4,0))</f>
        <v/>
      </c>
      <c r="K1276" s="295"/>
      <c r="L1276" s="295"/>
      <c r="M1276" s="295"/>
      <c r="N1276" s="295"/>
      <c r="O1276" s="295"/>
      <c r="P1276" s="295"/>
      <c r="Q1276" s="296"/>
      <c r="R1276" s="227"/>
      <c r="S1276" s="228" t="e">
        <f>IF(C1276="",NA(),MATCH($B1276&amp;$C1276,'Smelter Reference List'!$J:$J,0))</f>
        <v>#N/A</v>
      </c>
      <c r="T1276" s="229"/>
      <c r="U1276" s="229">
        <f t="shared" ca="1" si="40"/>
        <v>0</v>
      </c>
      <c r="V1276" s="229"/>
      <c r="W1276" s="229"/>
      <c r="Y1276" s="223" t="str">
        <f t="shared" si="41"/>
        <v/>
      </c>
    </row>
    <row r="1277" spans="1:25" s="223" customFormat="1" ht="20.25">
      <c r="A1277" s="291"/>
      <c r="B1277" s="292" t="str">
        <f>IF(LEN(A1277)=0,"",INDEX('Smelter Reference List'!$A:$A,MATCH($A1277,'Smelter Reference List'!$E:$E,0)))</f>
        <v/>
      </c>
      <c r="C1277" s="298" t="str">
        <f>IF(LEN(A1277)=0,"",INDEX('Smelter Reference List'!$C:$C,MATCH($A1277,'Smelter Reference List'!$E:$E,0)))</f>
        <v/>
      </c>
      <c r="D1277" s="292" t="str">
        <f ca="1">IF(ISERROR($S1277),"",OFFSET('Smelter Reference List'!$C$4,$S1277-4,0)&amp;"")</f>
        <v/>
      </c>
      <c r="E1277" s="292" t="str">
        <f ca="1">IF(ISERROR($S1277),"",OFFSET('Smelter Reference List'!$D$4,$S1277-4,0)&amp;"")</f>
        <v/>
      </c>
      <c r="F1277" s="292" t="str">
        <f ca="1">IF(ISERROR($S1277),"",OFFSET('Smelter Reference List'!$E$4,$S1277-4,0))</f>
        <v/>
      </c>
      <c r="G1277" s="292" t="str">
        <f ca="1">IF(C1277=$U$4,"Enter smelter details", IF(ISERROR($S1277),"",OFFSET('Smelter Reference List'!$F$4,$S1277-4,0)))</f>
        <v/>
      </c>
      <c r="H1277" s="293" t="str">
        <f ca="1">IF(ISERROR($S1277),"",OFFSET('Smelter Reference List'!$G$4,$S1277-4,0))</f>
        <v/>
      </c>
      <c r="I1277" s="294" t="str">
        <f ca="1">IF(ISERROR($S1277),"",OFFSET('Smelter Reference List'!$H$4,$S1277-4,0))</f>
        <v/>
      </c>
      <c r="J1277" s="294" t="str">
        <f ca="1">IF(ISERROR($S1277),"",OFFSET('Smelter Reference List'!$I$4,$S1277-4,0))</f>
        <v/>
      </c>
      <c r="K1277" s="295"/>
      <c r="L1277" s="295"/>
      <c r="M1277" s="295"/>
      <c r="N1277" s="295"/>
      <c r="O1277" s="295"/>
      <c r="P1277" s="295"/>
      <c r="Q1277" s="296"/>
      <c r="R1277" s="227"/>
      <c r="S1277" s="228" t="e">
        <f>IF(C1277="",NA(),MATCH($B1277&amp;$C1277,'Smelter Reference List'!$J:$J,0))</f>
        <v>#N/A</v>
      </c>
      <c r="T1277" s="229"/>
      <c r="U1277" s="229">
        <f t="shared" ca="1" si="40"/>
        <v>0</v>
      </c>
      <c r="V1277" s="229"/>
      <c r="W1277" s="229"/>
      <c r="Y1277" s="223" t="str">
        <f t="shared" si="41"/>
        <v/>
      </c>
    </row>
    <row r="1278" spans="1:25" s="223" customFormat="1" ht="20.25">
      <c r="A1278" s="291"/>
      <c r="B1278" s="292" t="str">
        <f>IF(LEN(A1278)=0,"",INDEX('Smelter Reference List'!$A:$A,MATCH($A1278,'Smelter Reference List'!$E:$E,0)))</f>
        <v/>
      </c>
      <c r="C1278" s="298" t="str">
        <f>IF(LEN(A1278)=0,"",INDEX('Smelter Reference List'!$C:$C,MATCH($A1278,'Smelter Reference List'!$E:$E,0)))</f>
        <v/>
      </c>
      <c r="D1278" s="292" t="str">
        <f ca="1">IF(ISERROR($S1278),"",OFFSET('Smelter Reference List'!$C$4,$S1278-4,0)&amp;"")</f>
        <v/>
      </c>
      <c r="E1278" s="292" t="str">
        <f ca="1">IF(ISERROR($S1278),"",OFFSET('Smelter Reference List'!$D$4,$S1278-4,0)&amp;"")</f>
        <v/>
      </c>
      <c r="F1278" s="292" t="str">
        <f ca="1">IF(ISERROR($S1278),"",OFFSET('Smelter Reference List'!$E$4,$S1278-4,0))</f>
        <v/>
      </c>
      <c r="G1278" s="292" t="str">
        <f ca="1">IF(C1278=$U$4,"Enter smelter details", IF(ISERROR($S1278),"",OFFSET('Smelter Reference List'!$F$4,$S1278-4,0)))</f>
        <v/>
      </c>
      <c r="H1278" s="293" t="str">
        <f ca="1">IF(ISERROR($S1278),"",OFFSET('Smelter Reference List'!$G$4,$S1278-4,0))</f>
        <v/>
      </c>
      <c r="I1278" s="294" t="str">
        <f ca="1">IF(ISERROR($S1278),"",OFFSET('Smelter Reference List'!$H$4,$S1278-4,0))</f>
        <v/>
      </c>
      <c r="J1278" s="294" t="str">
        <f ca="1">IF(ISERROR($S1278),"",OFFSET('Smelter Reference List'!$I$4,$S1278-4,0))</f>
        <v/>
      </c>
      <c r="K1278" s="295"/>
      <c r="L1278" s="295"/>
      <c r="M1278" s="295"/>
      <c r="N1278" s="295"/>
      <c r="O1278" s="295"/>
      <c r="P1278" s="295"/>
      <c r="Q1278" s="296"/>
      <c r="R1278" s="227"/>
      <c r="S1278" s="228" t="e">
        <f>IF(C1278="",NA(),MATCH($B1278&amp;$C1278,'Smelter Reference List'!$J:$J,0))</f>
        <v>#N/A</v>
      </c>
      <c r="T1278" s="229"/>
      <c r="U1278" s="229">
        <f t="shared" ca="1" si="40"/>
        <v>0</v>
      </c>
      <c r="V1278" s="229"/>
      <c r="W1278" s="229"/>
      <c r="Y1278" s="223" t="str">
        <f t="shared" si="41"/>
        <v/>
      </c>
    </row>
    <row r="1279" spans="1:25" s="223" customFormat="1" ht="20.25">
      <c r="A1279" s="291"/>
      <c r="B1279" s="292" t="str">
        <f>IF(LEN(A1279)=0,"",INDEX('Smelter Reference List'!$A:$A,MATCH($A1279,'Smelter Reference List'!$E:$E,0)))</f>
        <v/>
      </c>
      <c r="C1279" s="298" t="str">
        <f>IF(LEN(A1279)=0,"",INDEX('Smelter Reference List'!$C:$C,MATCH($A1279,'Smelter Reference List'!$E:$E,0)))</f>
        <v/>
      </c>
      <c r="D1279" s="292" t="str">
        <f ca="1">IF(ISERROR($S1279),"",OFFSET('Smelter Reference List'!$C$4,$S1279-4,0)&amp;"")</f>
        <v/>
      </c>
      <c r="E1279" s="292" t="str">
        <f ca="1">IF(ISERROR($S1279),"",OFFSET('Smelter Reference List'!$D$4,$S1279-4,0)&amp;"")</f>
        <v/>
      </c>
      <c r="F1279" s="292" t="str">
        <f ca="1">IF(ISERROR($S1279),"",OFFSET('Smelter Reference List'!$E$4,$S1279-4,0))</f>
        <v/>
      </c>
      <c r="G1279" s="292" t="str">
        <f ca="1">IF(C1279=$U$4,"Enter smelter details", IF(ISERROR($S1279),"",OFFSET('Smelter Reference List'!$F$4,$S1279-4,0)))</f>
        <v/>
      </c>
      <c r="H1279" s="293" t="str">
        <f ca="1">IF(ISERROR($S1279),"",OFFSET('Smelter Reference List'!$G$4,$S1279-4,0))</f>
        <v/>
      </c>
      <c r="I1279" s="294" t="str">
        <f ca="1">IF(ISERROR($S1279),"",OFFSET('Smelter Reference List'!$H$4,$S1279-4,0))</f>
        <v/>
      </c>
      <c r="J1279" s="294" t="str">
        <f ca="1">IF(ISERROR($S1279),"",OFFSET('Smelter Reference List'!$I$4,$S1279-4,0))</f>
        <v/>
      </c>
      <c r="K1279" s="295"/>
      <c r="L1279" s="295"/>
      <c r="M1279" s="295"/>
      <c r="N1279" s="295"/>
      <c r="O1279" s="295"/>
      <c r="P1279" s="295"/>
      <c r="Q1279" s="296"/>
      <c r="R1279" s="227"/>
      <c r="S1279" s="228" t="e">
        <f>IF(C1279="",NA(),MATCH($B1279&amp;$C1279,'Smelter Reference List'!$J:$J,0))</f>
        <v>#N/A</v>
      </c>
      <c r="T1279" s="229"/>
      <c r="U1279" s="229">
        <f t="shared" ca="1" si="40"/>
        <v>0</v>
      </c>
      <c r="V1279" s="229"/>
      <c r="W1279" s="229"/>
      <c r="Y1279" s="223" t="str">
        <f t="shared" si="41"/>
        <v/>
      </c>
    </row>
    <row r="1280" spans="1:25" s="223" customFormat="1" ht="20.25">
      <c r="A1280" s="291"/>
      <c r="B1280" s="292" t="str">
        <f>IF(LEN(A1280)=0,"",INDEX('Smelter Reference List'!$A:$A,MATCH($A1280,'Smelter Reference List'!$E:$E,0)))</f>
        <v/>
      </c>
      <c r="C1280" s="298" t="str">
        <f>IF(LEN(A1280)=0,"",INDEX('Smelter Reference List'!$C:$C,MATCH($A1280,'Smelter Reference List'!$E:$E,0)))</f>
        <v/>
      </c>
      <c r="D1280" s="292" t="str">
        <f ca="1">IF(ISERROR($S1280),"",OFFSET('Smelter Reference List'!$C$4,$S1280-4,0)&amp;"")</f>
        <v/>
      </c>
      <c r="E1280" s="292" t="str">
        <f ca="1">IF(ISERROR($S1280),"",OFFSET('Smelter Reference List'!$D$4,$S1280-4,0)&amp;"")</f>
        <v/>
      </c>
      <c r="F1280" s="292" t="str">
        <f ca="1">IF(ISERROR($S1280),"",OFFSET('Smelter Reference List'!$E$4,$S1280-4,0))</f>
        <v/>
      </c>
      <c r="G1280" s="292" t="str">
        <f ca="1">IF(C1280=$U$4,"Enter smelter details", IF(ISERROR($S1280),"",OFFSET('Smelter Reference List'!$F$4,$S1280-4,0)))</f>
        <v/>
      </c>
      <c r="H1280" s="293" t="str">
        <f ca="1">IF(ISERROR($S1280),"",OFFSET('Smelter Reference List'!$G$4,$S1280-4,0))</f>
        <v/>
      </c>
      <c r="I1280" s="294" t="str">
        <f ca="1">IF(ISERROR($S1280),"",OFFSET('Smelter Reference List'!$H$4,$S1280-4,0))</f>
        <v/>
      </c>
      <c r="J1280" s="294" t="str">
        <f ca="1">IF(ISERROR($S1280),"",OFFSET('Smelter Reference List'!$I$4,$S1280-4,0))</f>
        <v/>
      </c>
      <c r="K1280" s="295"/>
      <c r="L1280" s="295"/>
      <c r="M1280" s="295"/>
      <c r="N1280" s="295"/>
      <c r="O1280" s="295"/>
      <c r="P1280" s="295"/>
      <c r="Q1280" s="296"/>
      <c r="R1280" s="227"/>
      <c r="S1280" s="228" t="e">
        <f>IF(C1280="",NA(),MATCH($B1280&amp;$C1280,'Smelter Reference List'!$J:$J,0))</f>
        <v>#N/A</v>
      </c>
      <c r="T1280" s="229"/>
      <c r="U1280" s="229">
        <f t="shared" ca="1" si="40"/>
        <v>0</v>
      </c>
      <c r="V1280" s="229"/>
      <c r="W1280" s="229"/>
      <c r="Y1280" s="223" t="str">
        <f t="shared" si="41"/>
        <v/>
      </c>
    </row>
    <row r="1281" spans="1:25" s="223" customFormat="1" ht="20.25">
      <c r="A1281" s="291"/>
      <c r="B1281" s="292" t="str">
        <f>IF(LEN(A1281)=0,"",INDEX('Smelter Reference List'!$A:$A,MATCH($A1281,'Smelter Reference List'!$E:$E,0)))</f>
        <v/>
      </c>
      <c r="C1281" s="298" t="str">
        <f>IF(LEN(A1281)=0,"",INDEX('Smelter Reference List'!$C:$C,MATCH($A1281,'Smelter Reference List'!$E:$E,0)))</f>
        <v/>
      </c>
      <c r="D1281" s="292" t="str">
        <f ca="1">IF(ISERROR($S1281),"",OFFSET('Smelter Reference List'!$C$4,$S1281-4,0)&amp;"")</f>
        <v/>
      </c>
      <c r="E1281" s="292" t="str">
        <f ca="1">IF(ISERROR($S1281),"",OFFSET('Smelter Reference List'!$D$4,$S1281-4,0)&amp;"")</f>
        <v/>
      </c>
      <c r="F1281" s="292" t="str">
        <f ca="1">IF(ISERROR($S1281),"",OFFSET('Smelter Reference List'!$E$4,$S1281-4,0))</f>
        <v/>
      </c>
      <c r="G1281" s="292" t="str">
        <f ca="1">IF(C1281=$U$4,"Enter smelter details", IF(ISERROR($S1281),"",OFFSET('Smelter Reference List'!$F$4,$S1281-4,0)))</f>
        <v/>
      </c>
      <c r="H1281" s="293" t="str">
        <f ca="1">IF(ISERROR($S1281),"",OFFSET('Smelter Reference List'!$G$4,$S1281-4,0))</f>
        <v/>
      </c>
      <c r="I1281" s="294" t="str">
        <f ca="1">IF(ISERROR($S1281),"",OFFSET('Smelter Reference List'!$H$4,$S1281-4,0))</f>
        <v/>
      </c>
      <c r="J1281" s="294" t="str">
        <f ca="1">IF(ISERROR($S1281),"",OFFSET('Smelter Reference List'!$I$4,$S1281-4,0))</f>
        <v/>
      </c>
      <c r="K1281" s="295"/>
      <c r="L1281" s="295"/>
      <c r="M1281" s="295"/>
      <c r="N1281" s="295"/>
      <c r="O1281" s="295"/>
      <c r="P1281" s="295"/>
      <c r="Q1281" s="296"/>
      <c r="R1281" s="227"/>
      <c r="S1281" s="228" t="e">
        <f>IF(C1281="",NA(),MATCH($B1281&amp;$C1281,'Smelter Reference List'!$J:$J,0))</f>
        <v>#N/A</v>
      </c>
      <c r="T1281" s="229"/>
      <c r="U1281" s="229">
        <f t="shared" ca="1" si="40"/>
        <v>0</v>
      </c>
      <c r="V1281" s="229"/>
      <c r="W1281" s="229"/>
      <c r="Y1281" s="223" t="str">
        <f t="shared" si="41"/>
        <v/>
      </c>
    </row>
    <row r="1282" spans="1:25" s="223" customFormat="1" ht="20.25">
      <c r="A1282" s="291"/>
      <c r="B1282" s="292" t="str">
        <f>IF(LEN(A1282)=0,"",INDEX('Smelter Reference List'!$A:$A,MATCH($A1282,'Smelter Reference List'!$E:$E,0)))</f>
        <v/>
      </c>
      <c r="C1282" s="298" t="str">
        <f>IF(LEN(A1282)=0,"",INDEX('Smelter Reference List'!$C:$C,MATCH($A1282,'Smelter Reference List'!$E:$E,0)))</f>
        <v/>
      </c>
      <c r="D1282" s="292" t="str">
        <f ca="1">IF(ISERROR($S1282),"",OFFSET('Smelter Reference List'!$C$4,$S1282-4,0)&amp;"")</f>
        <v/>
      </c>
      <c r="E1282" s="292" t="str">
        <f ca="1">IF(ISERROR($S1282),"",OFFSET('Smelter Reference List'!$D$4,$S1282-4,0)&amp;"")</f>
        <v/>
      </c>
      <c r="F1282" s="292" t="str">
        <f ca="1">IF(ISERROR($S1282),"",OFFSET('Smelter Reference List'!$E$4,$S1282-4,0))</f>
        <v/>
      </c>
      <c r="G1282" s="292" t="str">
        <f ca="1">IF(C1282=$U$4,"Enter smelter details", IF(ISERROR($S1282),"",OFFSET('Smelter Reference List'!$F$4,$S1282-4,0)))</f>
        <v/>
      </c>
      <c r="H1282" s="293" t="str">
        <f ca="1">IF(ISERROR($S1282),"",OFFSET('Smelter Reference List'!$G$4,$S1282-4,0))</f>
        <v/>
      </c>
      <c r="I1282" s="294" t="str">
        <f ca="1">IF(ISERROR($S1282),"",OFFSET('Smelter Reference List'!$H$4,$S1282-4,0))</f>
        <v/>
      </c>
      <c r="J1282" s="294" t="str">
        <f ca="1">IF(ISERROR($S1282),"",OFFSET('Smelter Reference List'!$I$4,$S1282-4,0))</f>
        <v/>
      </c>
      <c r="K1282" s="295"/>
      <c r="L1282" s="295"/>
      <c r="M1282" s="295"/>
      <c r="N1282" s="295"/>
      <c r="O1282" s="295"/>
      <c r="P1282" s="295"/>
      <c r="Q1282" s="296"/>
      <c r="R1282" s="227"/>
      <c r="S1282" s="228" t="e">
        <f>IF(C1282="",NA(),MATCH($B1282&amp;$C1282,'Smelter Reference List'!$J:$J,0))</f>
        <v>#N/A</v>
      </c>
      <c r="T1282" s="229"/>
      <c r="U1282" s="229">
        <f t="shared" ca="1" si="40"/>
        <v>0</v>
      </c>
      <c r="V1282" s="229"/>
      <c r="W1282" s="229"/>
      <c r="Y1282" s="223" t="str">
        <f t="shared" si="41"/>
        <v/>
      </c>
    </row>
    <row r="1283" spans="1:25" s="223" customFormat="1" ht="20.25">
      <c r="A1283" s="291"/>
      <c r="B1283" s="292" t="str">
        <f>IF(LEN(A1283)=0,"",INDEX('Smelter Reference List'!$A:$A,MATCH($A1283,'Smelter Reference List'!$E:$E,0)))</f>
        <v/>
      </c>
      <c r="C1283" s="298" t="str">
        <f>IF(LEN(A1283)=0,"",INDEX('Smelter Reference List'!$C:$C,MATCH($A1283,'Smelter Reference List'!$E:$E,0)))</f>
        <v/>
      </c>
      <c r="D1283" s="292" t="str">
        <f ca="1">IF(ISERROR($S1283),"",OFFSET('Smelter Reference List'!$C$4,$S1283-4,0)&amp;"")</f>
        <v/>
      </c>
      <c r="E1283" s="292" t="str">
        <f ca="1">IF(ISERROR($S1283),"",OFFSET('Smelter Reference List'!$D$4,$S1283-4,0)&amp;"")</f>
        <v/>
      </c>
      <c r="F1283" s="292" t="str">
        <f ca="1">IF(ISERROR($S1283),"",OFFSET('Smelter Reference List'!$E$4,$S1283-4,0))</f>
        <v/>
      </c>
      <c r="G1283" s="292" t="str">
        <f ca="1">IF(C1283=$U$4,"Enter smelter details", IF(ISERROR($S1283),"",OFFSET('Smelter Reference List'!$F$4,$S1283-4,0)))</f>
        <v/>
      </c>
      <c r="H1283" s="293" t="str">
        <f ca="1">IF(ISERROR($S1283),"",OFFSET('Smelter Reference List'!$G$4,$S1283-4,0))</f>
        <v/>
      </c>
      <c r="I1283" s="294" t="str">
        <f ca="1">IF(ISERROR($S1283),"",OFFSET('Smelter Reference List'!$H$4,$S1283-4,0))</f>
        <v/>
      </c>
      <c r="J1283" s="294" t="str">
        <f ca="1">IF(ISERROR($S1283),"",OFFSET('Smelter Reference List'!$I$4,$S1283-4,0))</f>
        <v/>
      </c>
      <c r="K1283" s="295"/>
      <c r="L1283" s="295"/>
      <c r="M1283" s="295"/>
      <c r="N1283" s="295"/>
      <c r="O1283" s="295"/>
      <c r="P1283" s="295"/>
      <c r="Q1283" s="296"/>
      <c r="R1283" s="227"/>
      <c r="S1283" s="228" t="e">
        <f>IF(C1283="",NA(),MATCH($B1283&amp;$C1283,'Smelter Reference List'!$J:$J,0))</f>
        <v>#N/A</v>
      </c>
      <c r="T1283" s="229"/>
      <c r="U1283" s="229">
        <f t="shared" ca="1" si="40"/>
        <v>0</v>
      </c>
      <c r="V1283" s="229"/>
      <c r="W1283" s="229"/>
      <c r="Y1283" s="223" t="str">
        <f t="shared" si="41"/>
        <v/>
      </c>
    </row>
    <row r="1284" spans="1:25" s="223" customFormat="1" ht="20.25">
      <c r="A1284" s="291"/>
      <c r="B1284" s="292" t="str">
        <f>IF(LEN(A1284)=0,"",INDEX('Smelter Reference List'!$A:$A,MATCH($A1284,'Smelter Reference List'!$E:$E,0)))</f>
        <v/>
      </c>
      <c r="C1284" s="298" t="str">
        <f>IF(LEN(A1284)=0,"",INDEX('Smelter Reference List'!$C:$C,MATCH($A1284,'Smelter Reference List'!$E:$E,0)))</f>
        <v/>
      </c>
      <c r="D1284" s="292" t="str">
        <f ca="1">IF(ISERROR($S1284),"",OFFSET('Smelter Reference List'!$C$4,$S1284-4,0)&amp;"")</f>
        <v/>
      </c>
      <c r="E1284" s="292" t="str">
        <f ca="1">IF(ISERROR($S1284),"",OFFSET('Smelter Reference List'!$D$4,$S1284-4,0)&amp;"")</f>
        <v/>
      </c>
      <c r="F1284" s="292" t="str">
        <f ca="1">IF(ISERROR($S1284),"",OFFSET('Smelter Reference List'!$E$4,$S1284-4,0))</f>
        <v/>
      </c>
      <c r="G1284" s="292" t="str">
        <f ca="1">IF(C1284=$U$4,"Enter smelter details", IF(ISERROR($S1284),"",OFFSET('Smelter Reference List'!$F$4,$S1284-4,0)))</f>
        <v/>
      </c>
      <c r="H1284" s="293" t="str">
        <f ca="1">IF(ISERROR($S1284),"",OFFSET('Smelter Reference List'!$G$4,$S1284-4,0))</f>
        <v/>
      </c>
      <c r="I1284" s="294" t="str">
        <f ca="1">IF(ISERROR($S1284),"",OFFSET('Smelter Reference List'!$H$4,$S1284-4,0))</f>
        <v/>
      </c>
      <c r="J1284" s="294" t="str">
        <f ca="1">IF(ISERROR($S1284),"",OFFSET('Smelter Reference List'!$I$4,$S1284-4,0))</f>
        <v/>
      </c>
      <c r="K1284" s="295"/>
      <c r="L1284" s="295"/>
      <c r="M1284" s="295"/>
      <c r="N1284" s="295"/>
      <c r="O1284" s="295"/>
      <c r="P1284" s="295"/>
      <c r="Q1284" s="296"/>
      <c r="R1284" s="227"/>
      <c r="S1284" s="228" t="e">
        <f>IF(C1284="",NA(),MATCH($B1284&amp;$C1284,'Smelter Reference List'!$J:$J,0))</f>
        <v>#N/A</v>
      </c>
      <c r="T1284" s="229"/>
      <c r="U1284" s="229">
        <f t="shared" ca="1" si="40"/>
        <v>0</v>
      </c>
      <c r="V1284" s="229"/>
      <c r="W1284" s="229"/>
      <c r="Y1284" s="223" t="str">
        <f t="shared" si="41"/>
        <v/>
      </c>
    </row>
    <row r="1285" spans="1:25" s="223" customFormat="1" ht="20.25">
      <c r="A1285" s="291"/>
      <c r="B1285" s="292" t="str">
        <f>IF(LEN(A1285)=0,"",INDEX('Smelter Reference List'!$A:$A,MATCH($A1285,'Smelter Reference List'!$E:$E,0)))</f>
        <v/>
      </c>
      <c r="C1285" s="298" t="str">
        <f>IF(LEN(A1285)=0,"",INDEX('Smelter Reference List'!$C:$C,MATCH($A1285,'Smelter Reference List'!$E:$E,0)))</f>
        <v/>
      </c>
      <c r="D1285" s="292" t="str">
        <f ca="1">IF(ISERROR($S1285),"",OFFSET('Smelter Reference List'!$C$4,$S1285-4,0)&amp;"")</f>
        <v/>
      </c>
      <c r="E1285" s="292" t="str">
        <f ca="1">IF(ISERROR($S1285),"",OFFSET('Smelter Reference List'!$D$4,$S1285-4,0)&amp;"")</f>
        <v/>
      </c>
      <c r="F1285" s="292" t="str">
        <f ca="1">IF(ISERROR($S1285),"",OFFSET('Smelter Reference List'!$E$4,$S1285-4,0))</f>
        <v/>
      </c>
      <c r="G1285" s="292" t="str">
        <f ca="1">IF(C1285=$U$4,"Enter smelter details", IF(ISERROR($S1285),"",OFFSET('Smelter Reference List'!$F$4,$S1285-4,0)))</f>
        <v/>
      </c>
      <c r="H1285" s="293" t="str">
        <f ca="1">IF(ISERROR($S1285),"",OFFSET('Smelter Reference List'!$G$4,$S1285-4,0))</f>
        <v/>
      </c>
      <c r="I1285" s="294" t="str">
        <f ca="1">IF(ISERROR($S1285),"",OFFSET('Smelter Reference List'!$H$4,$S1285-4,0))</f>
        <v/>
      </c>
      <c r="J1285" s="294" t="str">
        <f ca="1">IF(ISERROR($S1285),"",OFFSET('Smelter Reference List'!$I$4,$S1285-4,0))</f>
        <v/>
      </c>
      <c r="K1285" s="295"/>
      <c r="L1285" s="295"/>
      <c r="M1285" s="295"/>
      <c r="N1285" s="295"/>
      <c r="O1285" s="295"/>
      <c r="P1285" s="295"/>
      <c r="Q1285" s="296"/>
      <c r="R1285" s="227"/>
      <c r="S1285" s="228" t="e">
        <f>IF(C1285="",NA(),MATCH($B1285&amp;$C1285,'Smelter Reference List'!$J:$J,0))</f>
        <v>#N/A</v>
      </c>
      <c r="T1285" s="229"/>
      <c r="U1285" s="229">
        <f ca="1">IF(AND(C1285="Smelter not listed",OR(LEN(D1285)=0,LEN(E1285)=0)),1,0)</f>
        <v>0</v>
      </c>
      <c r="V1285" s="229"/>
      <c r="W1285" s="229"/>
      <c r="Y1285" s="223" t="str">
        <f>B1285&amp;C1285</f>
        <v/>
      </c>
    </row>
    <row r="1286" spans="1:25" s="223" customFormat="1" ht="20.25">
      <c r="A1286" s="291"/>
      <c r="B1286" s="292" t="str">
        <f>IF(LEN(A1286)=0,"",INDEX('Smelter Reference List'!$A:$A,MATCH($A1286,'Smelter Reference List'!$E:$E,0)))</f>
        <v/>
      </c>
      <c r="C1286" s="298" t="str">
        <f>IF(LEN(A1286)=0,"",INDEX('Smelter Reference List'!$C:$C,MATCH($A1286,'Smelter Reference List'!$E:$E,0)))</f>
        <v/>
      </c>
      <c r="D1286" s="292" t="str">
        <f ca="1">IF(ISERROR($S1286),"",OFFSET('Smelter Reference List'!$C$4,$S1286-4,0)&amp;"")</f>
        <v/>
      </c>
      <c r="E1286" s="292" t="str">
        <f ca="1">IF(ISERROR($S1286),"",OFFSET('Smelter Reference List'!$D$4,$S1286-4,0)&amp;"")</f>
        <v/>
      </c>
      <c r="F1286" s="292" t="str">
        <f ca="1">IF(ISERROR($S1286),"",OFFSET('Smelter Reference List'!$E$4,$S1286-4,0))</f>
        <v/>
      </c>
      <c r="G1286" s="292" t="str">
        <f ca="1">IF(C1286=$U$4,"Enter smelter details", IF(ISERROR($S1286),"",OFFSET('Smelter Reference List'!$F$4,$S1286-4,0)))</f>
        <v/>
      </c>
      <c r="H1286" s="293" t="str">
        <f ca="1">IF(ISERROR($S1286),"",OFFSET('Smelter Reference List'!$G$4,$S1286-4,0))</f>
        <v/>
      </c>
      <c r="I1286" s="294" t="str">
        <f ca="1">IF(ISERROR($S1286),"",OFFSET('Smelter Reference List'!$H$4,$S1286-4,0))</f>
        <v/>
      </c>
      <c r="J1286" s="294" t="str">
        <f ca="1">IF(ISERROR($S1286),"",OFFSET('Smelter Reference List'!$I$4,$S1286-4,0))</f>
        <v/>
      </c>
      <c r="K1286" s="295"/>
      <c r="L1286" s="295"/>
      <c r="M1286" s="295"/>
      <c r="N1286" s="295"/>
      <c r="O1286" s="295"/>
      <c r="P1286" s="295"/>
      <c r="Q1286" s="296"/>
      <c r="R1286" s="227"/>
      <c r="S1286" s="228" t="e">
        <f>IF(C1286="",NA(),MATCH($B1286&amp;$C1286,'Smelter Reference List'!$J:$J,0))</f>
        <v>#N/A</v>
      </c>
      <c r="T1286" s="229"/>
      <c r="U1286" s="229">
        <f ca="1">IF(AND(C1286="Smelter not listed",OR(LEN(D1286)=0,LEN(E1286)=0)),1,0)</f>
        <v>0</v>
      </c>
      <c r="V1286" s="229"/>
      <c r="W1286" s="229"/>
      <c r="Y1286" s="223" t="str">
        <f>B1286&amp;C1286</f>
        <v/>
      </c>
    </row>
    <row r="1287" spans="1:25" s="223" customFormat="1" ht="20.25">
      <c r="A1287" s="291"/>
      <c r="B1287" s="292" t="str">
        <f>IF(LEN(A1287)=0,"",INDEX('Smelter Reference List'!$A:$A,MATCH($A1287,'Smelter Reference List'!$E:$E,0)))</f>
        <v/>
      </c>
      <c r="C1287" s="298" t="str">
        <f>IF(LEN(A1287)=0,"",INDEX('Smelter Reference List'!$C:$C,MATCH($A1287,'Smelter Reference List'!$E:$E,0)))</f>
        <v/>
      </c>
      <c r="D1287" s="292" t="str">
        <f ca="1">IF(ISERROR($S1287),"",OFFSET('Smelter Reference List'!$C$4,$S1287-4,0)&amp;"")</f>
        <v/>
      </c>
      <c r="E1287" s="292" t="str">
        <f ca="1">IF(ISERROR($S1287),"",OFFSET('Smelter Reference List'!$D$4,$S1287-4,0)&amp;"")</f>
        <v/>
      </c>
      <c r="F1287" s="292" t="str">
        <f ca="1">IF(ISERROR($S1287),"",OFFSET('Smelter Reference List'!$E$4,$S1287-4,0))</f>
        <v/>
      </c>
      <c r="G1287" s="292" t="str">
        <f ca="1">IF(C1287=$U$4,"Enter smelter details", IF(ISERROR($S1287),"",OFFSET('Smelter Reference List'!$F$4,$S1287-4,0)))</f>
        <v/>
      </c>
      <c r="H1287" s="293" t="str">
        <f ca="1">IF(ISERROR($S1287),"",OFFSET('Smelter Reference List'!$G$4,$S1287-4,0))</f>
        <v/>
      </c>
      <c r="I1287" s="294" t="str">
        <f ca="1">IF(ISERROR($S1287),"",OFFSET('Smelter Reference List'!$H$4,$S1287-4,0))</f>
        <v/>
      </c>
      <c r="J1287" s="294" t="str">
        <f ca="1">IF(ISERROR($S1287),"",OFFSET('Smelter Reference List'!$I$4,$S1287-4,0))</f>
        <v/>
      </c>
      <c r="K1287" s="295"/>
      <c r="L1287" s="295"/>
      <c r="M1287" s="295"/>
      <c r="N1287" s="295"/>
      <c r="O1287" s="295"/>
      <c r="P1287" s="295"/>
      <c r="Q1287" s="296"/>
      <c r="R1287" s="227"/>
      <c r="S1287" s="228" t="e">
        <f>IF(C1287="",NA(),MATCH($B1287&amp;$C1287,'Smelter Reference List'!$J:$J,0))</f>
        <v>#N/A</v>
      </c>
      <c r="T1287" s="229"/>
      <c r="U1287" s="229">
        <f ca="1">IF(AND(C1287="Smelter not listed",OR(LEN(D1287)=0,LEN(E1287)=0)),1,0)</f>
        <v>0</v>
      </c>
      <c r="V1287" s="229"/>
      <c r="W1287" s="229"/>
      <c r="Y1287" s="223" t="str">
        <f>B1287&amp;C1287</f>
        <v/>
      </c>
    </row>
    <row r="1288" spans="1:25" ht="13.5" thickBot="1">
      <c r="A1288" s="238"/>
      <c r="B1288" s="299"/>
      <c r="C1288" s="299"/>
      <c r="D1288" s="205"/>
      <c r="E1288" s="205"/>
      <c r="F1288" s="205"/>
      <c r="G1288" s="205"/>
      <c r="H1288" s="205"/>
      <c r="I1288" s="205"/>
      <c r="J1288" s="205"/>
      <c r="K1288" s="205"/>
      <c r="L1288" s="205"/>
      <c r="M1288" s="205"/>
      <c r="N1288" s="205"/>
      <c r="O1288" s="205"/>
      <c r="P1288" s="205"/>
      <c r="Q1288" s="206"/>
      <c r="R1288" s="203"/>
      <c r="S1288" s="203"/>
      <c r="Y1288" s="223" t="str">
        <f>B1288&amp;C1288</f>
        <v/>
      </c>
    </row>
    <row r="1289" spans="1:25" ht="13.5" thickTop="1">
      <c r="R1289" s="204"/>
      <c r="S1289" s="204"/>
      <c r="T1289" s="204"/>
      <c r="U1289" s="204"/>
      <c r="V1289" s="204"/>
      <c r="W1289" s="204"/>
    </row>
    <row r="1290" spans="1:25">
      <c r="R1290" s="204"/>
      <c r="S1290" s="204"/>
      <c r="T1290" s="204"/>
      <c r="U1290" s="204"/>
      <c r="V1290" s="204"/>
      <c r="W1290" s="204"/>
    </row>
    <row r="1291" spans="1:25">
      <c r="R1291" s="204"/>
      <c r="S1291" s="204"/>
      <c r="T1291" s="204"/>
      <c r="U1291" s="204"/>
      <c r="V1291" s="204"/>
      <c r="W1291" s="204"/>
    </row>
  </sheetData>
  <sheetProtection password="E985" sheet="1" formatRows="0" deleteRows="0"/>
  <dataConsolidate/>
  <mergeCells count="2">
    <mergeCell ref="J2:O2"/>
    <mergeCell ref="B3:E3"/>
  </mergeCells>
  <phoneticPr fontId="31"/>
  <conditionalFormatting sqref="B5:B1287">
    <cfRule type="expression" dxfId="33" priority="4" stopIfTrue="1">
      <formula>IF(B5="",TRUE)</formula>
    </cfRule>
    <cfRule type="expression" dxfId="32" priority="15" stopIfTrue="1">
      <formula>IF(AND(COUNTIF(MetalSmelter,B5&amp;C5)=0,LEN(C5)&gt;0), TRUE, FALSE)</formula>
    </cfRule>
  </conditionalFormatting>
  <conditionalFormatting sqref="D5:E1287">
    <cfRule type="expression" dxfId="31" priority="23" stopIfTrue="1">
      <formula>IF(AND(D5="",$C5=$U$4),TRUE)</formula>
    </cfRule>
    <cfRule type="expression" dxfId="30" priority="24" stopIfTrue="1">
      <formula>IF(FIND("!",D5),TRUE)</formula>
    </cfRule>
  </conditionalFormatting>
  <conditionalFormatting sqref="G5:G1287">
    <cfRule type="expression" dxfId="29" priority="25" stopIfTrue="1">
      <formula>IF(FIND("Enter smelter details",G5),TRUE)</formula>
    </cfRule>
  </conditionalFormatting>
  <conditionalFormatting sqref="F5:F1287">
    <cfRule type="expression" dxfId="28" priority="2" stopIfTrue="1">
      <formula>IF(AND(LEN($A5)&gt;0,$A5&lt;&gt;$F5),TRUE,FALSE)</formula>
    </cfRule>
  </conditionalFormatting>
  <conditionalFormatting sqref="C5:C1287">
    <cfRule type="expression" dxfId="27" priority="1" stopIfTrue="1">
      <formula>IF(AND(B5&lt;&gt;"",C5=""),TRUE)</formula>
    </cfRule>
  </conditionalFormatting>
  <dataValidations count="5">
    <dataValidation type="list" allowBlank="1" showInputMessage="1" showErrorMessage="1" sqref="B5:B1287">
      <formula1>Metal</formula1>
    </dataValidation>
    <dataValidation type="list" allowBlank="1" showInputMessage="1" showErrorMessage="1" sqref="P5:P1287">
      <formula1>"Yes,No"</formula1>
    </dataValidation>
    <dataValidation allowBlank="1" showErrorMessage="1" sqref="F5:G1287"/>
    <dataValidation type="list" allowBlank="1" showInputMessage="1" showErrorMessage="1" sqref="E5:E1287">
      <formula1>CL</formula1>
    </dataValidation>
    <dataValidation type="list" showInputMessage="1" showErrorMessage="1" sqref="C5:C1287">
      <formula1>SN</formula1>
    </dataValidation>
  </dataValidations>
  <hyperlinks>
    <hyperlink ref="J2:O2" r:id="rId1" display="http://www.conflictfreesourcing.org/conflict-free-smelter-refiner-lists/"/>
  </hyperlinks>
  <pageMargins left="0.70866141732283472" right="0.70866141732283472" top="0.74803149606299213" bottom="0.74803149606299213" header="0.31496062992125984" footer="0.31496062992125984"/>
  <pageSetup scale="43"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L70"/>
  <sheetViews>
    <sheetView showGridLines="0" showZeros="0" zoomScale="70" zoomScaleNormal="70" workbookViewId="0">
      <pane xSplit="1" ySplit="3" topLeftCell="B73" activePane="bottomRight" state="frozen"/>
      <selection pane="topRight" activeCell="B1" sqref="B1"/>
      <selection pane="bottomLeft" activeCell="A4" sqref="A4"/>
      <selection pane="bottomRight" activeCell="B4" sqref="B4"/>
    </sheetView>
  </sheetViews>
  <sheetFormatPr defaultColWidth="8.75" defaultRowHeight="12.75"/>
  <cols>
    <col min="1" max="1" width="45.125" style="22" customWidth="1"/>
    <col min="2" max="2" width="42.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209" hidden="1" customWidth="1"/>
    <col min="10" max="11" width="9" style="22" hidden="1" customWidth="1"/>
    <col min="12" max="13" width="8.75" style="22" customWidth="1"/>
    <col min="14" max="16384" width="8.75" style="22"/>
  </cols>
  <sheetData>
    <row r="1" spans="1:10" ht="30">
      <c r="A1" s="395" t="str">
        <f ca="1">OFFSET(L!$C$1,MATCH("Checker"&amp;ADDRESS(ROW(),COLUMN(),4),L!$A:$A,0)-1,SL,,)</f>
        <v>To ensure all required fields have been populated before submitting to your customers review form for any line items highlighted in red</v>
      </c>
      <c r="B1" s="395"/>
      <c r="C1" s="395"/>
      <c r="D1" s="161" t="str">
        <f ca="1">OFFSET(L!$C$1,MATCH("Checker"&amp;ADDRESS(ROW(),COLUMN(),4),L!$A:$A,0)-1,SL,,)</f>
        <v>Required fields remaining to be completed</v>
      </c>
      <c r="E1" s="91" t="s">
        <v>1425</v>
      </c>
    </row>
    <row r="2" spans="1:10" ht="15">
      <c r="A2" s="84" t="s">
        <v>1750</v>
      </c>
      <c r="B2" s="85" t="str">
        <f>IF(F62=1,"Click here to return to Smelter List","")</f>
        <v>Click here to return to Smelter List</v>
      </c>
      <c r="C2" s="165" t="str">
        <f>IF(F61=1,"Click here to return to Product List","")</f>
        <v/>
      </c>
      <c r="D2" s="214" t="str">
        <f ca="1">IF(H67=0,"0",H67)</f>
        <v>0</v>
      </c>
    </row>
    <row r="3" spans="1:10" ht="15">
      <c r="A3" s="86" t="str">
        <f ca="1">OFFSET(L!$C$1,MATCH("Checker"&amp;ADDRESS(ROW(),COLUMN(),4),L!$A:$A,0)-1,SL,,)</f>
        <v>Required Fields</v>
      </c>
      <c r="B3" s="86" t="str">
        <f ca="1">OFFSET(L!$C$1,MATCH("Checker"&amp;ADDRESS(ROW(),COLUMN(),4),L!$A:$A,0)-1,SL,,)</f>
        <v>Answer provided</v>
      </c>
      <c r="C3" s="86" t="str">
        <f ca="1">OFFSET(L!$C$1,MATCH("Checker"&amp;ADDRESS(ROW(),COLUMN(),4),L!$A:$A,0)-1,SL,,)</f>
        <v>Notes</v>
      </c>
      <c r="D3" s="86" t="str">
        <f ca="1">OFFSET(L!$C$1,MATCH("Checker"&amp;ADDRESS(ROW(),COLUMN(),4),L!$A:$A,0)-1,SL,,)</f>
        <v>Hyperlink to source</v>
      </c>
      <c r="F3" s="87" t="s">
        <v>950</v>
      </c>
      <c r="G3" s="22" t="s">
        <v>949</v>
      </c>
      <c r="H3" s="22" t="s">
        <v>951</v>
      </c>
      <c r="I3" s="209" t="s">
        <v>2531</v>
      </c>
      <c r="J3" s="22" t="s">
        <v>2532</v>
      </c>
    </row>
    <row r="4" spans="1:10" ht="39">
      <c r="A4" s="110" t="str">
        <f ca="1">Declaration!B8</f>
        <v>Company Name (*):</v>
      </c>
      <c r="B4" s="109" t="str">
        <f>Declaration!D8</f>
        <v>Matrix Oribtal</v>
      </c>
      <c r="C4" s="109" t="str">
        <f t="shared" ref="C4:C9" ca="1" si="0">IF(H4=1,J4,I4)</f>
        <v>Complete</v>
      </c>
      <c r="D4" s="119" t="str">
        <f>IF(H4=1,"Click here to enter Company Name","")</f>
        <v/>
      </c>
      <c r="E4" s="91" t="s">
        <v>2521</v>
      </c>
      <c r="F4" s="117">
        <v>1</v>
      </c>
      <c r="G4" s="88">
        <f t="shared" ref="G4:G9" si="1">IF(B4=0,1,0)</f>
        <v>0</v>
      </c>
      <c r="H4" s="89">
        <f>F4*G4</f>
        <v>0</v>
      </c>
      <c r="I4" s="210" t="str">
        <f ca="1">OFFSET(L!$C$1,MATCH("Checker"&amp;"Comp",L!$A:$A,0)-1,SL,,)</f>
        <v>Complete</v>
      </c>
      <c r="J4" s="211" t="str">
        <f ca="1">OFFSET(L!$C$1,MATCH("Checker"&amp;ADDRESS(ROW(),COLUMN(),4),L!$A:$A,0)-1,SL,,)</f>
        <v>Provide your company name on the Declaration tab cell D8</v>
      </c>
    </row>
    <row r="5" spans="1:10" ht="39">
      <c r="A5" s="110" t="str">
        <f ca="1">Declaration!B9</f>
        <v>Declaration Scope or Class (*):</v>
      </c>
      <c r="B5" s="109" t="str">
        <f>Declaration!D9</f>
        <v>A. Company</v>
      </c>
      <c r="C5" s="109" t="str">
        <f t="shared" ca="1" si="0"/>
        <v>Complete</v>
      </c>
      <c r="D5" s="119" t="str">
        <f>IF(H5=1,"Click here to enter Declaration Scope","")</f>
        <v/>
      </c>
      <c r="E5" s="91" t="s">
        <v>2521</v>
      </c>
      <c r="F5" s="117">
        <v>1</v>
      </c>
      <c r="G5" s="88">
        <f t="shared" si="1"/>
        <v>0</v>
      </c>
      <c r="H5" s="89">
        <f t="shared" ref="H5:H23" si="2">F5*G5</f>
        <v>0</v>
      </c>
      <c r="I5" s="210" t="str">
        <f ca="1">OFFSET(L!$C$1,MATCH("Checker"&amp;"Comp",L!$A:$A,0)-1,SL,,)</f>
        <v>Complete</v>
      </c>
      <c r="J5" s="211" t="str">
        <f ca="1">OFFSET(L!$C$1,MATCH("Checker"&amp;ADDRESS(ROW(),COLUMN(),4),L!$A:$A,0)-1,SL,,)</f>
        <v>Select the scope of declaration on the Declaration tab cell D9</v>
      </c>
    </row>
    <row r="6" spans="1:10" ht="39">
      <c r="A6" s="110" t="str">
        <f ca="1">Declaration!B10</f>
        <v>Description of Scope:</v>
      </c>
      <c r="B6" s="109">
        <f>Declaration!D10</f>
        <v>0</v>
      </c>
      <c r="C6" s="109" t="str">
        <f t="shared" ca="1" si="0"/>
        <v>Complete</v>
      </c>
      <c r="D6" s="119" t="str">
        <f>IF(H6=1,"Click here to provide a Description of Scope","")</f>
        <v/>
      </c>
      <c r="E6" s="91" t="s">
        <v>2521</v>
      </c>
      <c r="F6" s="118">
        <f>IF(OR(B5=Declaration!P9,B5=Declaration!Q9,B5=0),0,1)</f>
        <v>0</v>
      </c>
      <c r="G6" s="88">
        <f t="shared" si="1"/>
        <v>1</v>
      </c>
      <c r="H6" s="89">
        <f t="shared" si="2"/>
        <v>0</v>
      </c>
      <c r="I6" s="210" t="str">
        <f ca="1">OFFSET(L!$C$1,MATCH("Checker"&amp;"Comp",L!$A:$A,0)-1,SL,,)</f>
        <v>Complete</v>
      </c>
      <c r="J6" s="22" t="str">
        <f ca="1">OFFSET(L!$C$1,MATCH("Checker"&amp;ADDRESS(ROW(),COLUMN(),4),L!$A:$A,0)-1,SL,,)</f>
        <v>Provide description of scope on Declaration tab cell D10</v>
      </c>
    </row>
    <row r="7" spans="1:10" ht="39">
      <c r="A7" s="110" t="str">
        <f ca="1">Declaration!B15</f>
        <v>Contact Name (*):</v>
      </c>
      <c r="B7" s="109" t="str">
        <f>Declaration!D15</f>
        <v>Brian Ingwersen</v>
      </c>
      <c r="C7" s="109" t="str">
        <f t="shared" ca="1" si="0"/>
        <v>Complete</v>
      </c>
      <c r="D7" s="119" t="str">
        <f>IF(H7=1,"Click here to enter Contact Name","")</f>
        <v/>
      </c>
      <c r="E7" s="91" t="s">
        <v>2521</v>
      </c>
      <c r="F7" s="164">
        <v>1</v>
      </c>
      <c r="G7" s="88">
        <f t="shared" si="1"/>
        <v>0</v>
      </c>
      <c r="H7" s="89">
        <f t="shared" si="2"/>
        <v>0</v>
      </c>
      <c r="I7" s="210" t="str">
        <f ca="1">OFFSET(L!$C$1,MATCH("Checker"&amp;"Comp",L!$A:$A,0)-1,SL,,)</f>
        <v>Complete</v>
      </c>
      <c r="J7" s="22" t="str">
        <f ca="1">OFFSET(L!$C$1,MATCH("Checker"&amp;ADDRESS(ROW(),COLUMN(),4),L!$A:$A,0)-1,SL,,)</f>
        <v>Provide contact name in Declaration tab cell D15</v>
      </c>
    </row>
    <row r="8" spans="1:10" ht="39">
      <c r="A8" s="110" t="str">
        <f ca="1">Declaration!B16</f>
        <v>Email – Contact (*):</v>
      </c>
      <c r="B8" s="109" t="str">
        <f>Declaration!D16</f>
        <v>bingwersen@matrixorbital.ca</v>
      </c>
      <c r="C8" s="109" t="str">
        <f t="shared" ca="1" si="0"/>
        <v>Complete</v>
      </c>
      <c r="D8" s="119" t="str">
        <f>IF(H8=1,"Click here to enter Email-Contact","")</f>
        <v/>
      </c>
      <c r="E8" s="91" t="s">
        <v>2521</v>
      </c>
      <c r="F8" s="164">
        <v>1</v>
      </c>
      <c r="G8" s="88">
        <f>IF(ISNUMBER(SEARCH("@",B8)),0,1)</f>
        <v>0</v>
      </c>
      <c r="H8" s="89">
        <f t="shared" si="2"/>
        <v>0</v>
      </c>
      <c r="I8" s="210" t="str">
        <f ca="1">OFFSET(L!$C$1,MATCH("Checker"&amp;"Comp",L!$A:$A,0)-1,SL,,)</f>
        <v>Complete</v>
      </c>
      <c r="J8" s="22" t="str">
        <f ca="1">OFFSET(L!$C$1,MATCH("Checker"&amp;ADDRESS(ROW(),COLUMN(),4),L!$A:$A,0)-1,SL,,)</f>
        <v>Provide a valid email for contact in Declaration tab cell D16</v>
      </c>
    </row>
    <row r="9" spans="1:10" ht="39">
      <c r="A9" s="110" t="str">
        <f ca="1">Declaration!B17</f>
        <v>Phone – Contact (*):</v>
      </c>
      <c r="B9" s="109" t="str">
        <f>Declaration!D17</f>
        <v>403-229-2737</v>
      </c>
      <c r="C9" s="109" t="str">
        <f t="shared" ca="1" si="0"/>
        <v>Complete</v>
      </c>
      <c r="D9" s="119" t="str">
        <f>IF(H9=1,"Click here to enter Phone-Contact","")</f>
        <v/>
      </c>
      <c r="E9" s="91" t="s">
        <v>2521</v>
      </c>
      <c r="F9" s="164">
        <v>1</v>
      </c>
      <c r="G9" s="88">
        <f t="shared" si="1"/>
        <v>0</v>
      </c>
      <c r="H9" s="89">
        <f t="shared" si="2"/>
        <v>0</v>
      </c>
      <c r="I9" s="210" t="str">
        <f ca="1">OFFSET(L!$C$1,MATCH("Checker"&amp;"Comp",L!$A:$A,0)-1,SL,,)</f>
        <v>Complete</v>
      </c>
      <c r="J9" s="22" t="str">
        <f ca="1">OFFSET(L!$C$1,MATCH("Checker"&amp;ADDRESS(ROW(),COLUMN(),4),L!$A:$A,0)-1,SL,,)</f>
        <v>Provide a phone number for contact in Declaration tab cell D17</v>
      </c>
    </row>
    <row r="10" spans="1:10" ht="39">
      <c r="A10" s="110" t="str">
        <f ca="1">Declaration!B18</f>
        <v>Authorizer (*):</v>
      </c>
      <c r="B10" s="109" t="str">
        <f>Declaration!D18</f>
        <v>Brian Ingwersen</v>
      </c>
      <c r="C10" s="109" t="str">
        <f t="shared" ref="C10:C61" ca="1" si="3">IF(H10=1,J10,I10)</f>
        <v>Complete</v>
      </c>
      <c r="D10" s="119" t="str">
        <f>IF(H10=1,"Click here to enter an Authorized Company Representative's name","")</f>
        <v/>
      </c>
      <c r="E10" s="91" t="s">
        <v>2521</v>
      </c>
      <c r="F10" s="117">
        <v>1</v>
      </c>
      <c r="G10" s="88">
        <f t="shared" ref="G10:G23" si="4">IF(B10=0,1,0)</f>
        <v>0</v>
      </c>
      <c r="H10" s="89">
        <f t="shared" si="2"/>
        <v>0</v>
      </c>
      <c r="I10" s="210" t="str">
        <f ca="1">OFFSET(L!$C$1,MATCH("Checker"&amp;"Comp",L!$A:$A,0)-1,SL,,)</f>
        <v>Complete</v>
      </c>
      <c r="J10" s="22" t="str">
        <f ca="1">OFFSET(L!$C$1,MATCH("Checker"&amp;ADDRESS(ROW(),COLUMN(),4),L!$A:$A,0)-1,SL,,)</f>
        <v>Provide authorized company representative contact name in Declaration tab cell D18</v>
      </c>
    </row>
    <row r="11" spans="1:10" ht="39">
      <c r="A11" s="110" t="str">
        <f ca="1">Declaration!B20</f>
        <v>Email - Authorizer (*):</v>
      </c>
      <c r="B11" s="109" t="str">
        <f>Declaration!D20</f>
        <v>bingwersen@matrixorbital.ca</v>
      </c>
      <c r="C11" s="109" t="str">
        <f t="shared" ca="1" si="3"/>
        <v>Complete</v>
      </c>
      <c r="D11" s="119" t="str">
        <f>IF(H11=1,"Click here to enter Representative's email","")</f>
        <v/>
      </c>
      <c r="E11" s="91" t="s">
        <v>2521</v>
      </c>
      <c r="F11" s="117">
        <v>1</v>
      </c>
      <c r="G11" s="88">
        <f>IF(ISNUMBER(SEARCH("@",B11)),0,1)</f>
        <v>0</v>
      </c>
      <c r="H11" s="89">
        <f t="shared" si="2"/>
        <v>0</v>
      </c>
      <c r="I11" s="210" t="str">
        <f ca="1">OFFSET(L!$C$1,MATCH("Checker"&amp;"Comp",L!$A:$A,0)-1,SL,,)</f>
        <v>Complete</v>
      </c>
      <c r="J11" s="22" t="str">
        <f ca="1">OFFSET(L!$C$1,MATCH("Checker"&amp;ADDRESS(ROW(),COLUMN(),4),L!$A:$A,0)-1,SL,,)</f>
        <v>Provide an email for authorized company representative on Declaration tab cell D20</v>
      </c>
    </row>
    <row r="12" spans="1:10" ht="39">
      <c r="A12" s="110" t="str">
        <f ca="1">Declaration!B21</f>
        <v>Phone - Authorizer (*):</v>
      </c>
      <c r="B12" s="109" t="str">
        <f>Declaration!D21</f>
        <v>403-229-2737</v>
      </c>
      <c r="C12" s="109" t="str">
        <f ca="1">IF(H12=1,J12,I12)</f>
        <v>Complete</v>
      </c>
      <c r="D12" s="119" t="str">
        <f>IF(H12=1,"Click here to enter Representative's phone","")</f>
        <v/>
      </c>
      <c r="E12" s="91" t="s">
        <v>2521</v>
      </c>
      <c r="F12" s="117">
        <v>1</v>
      </c>
      <c r="G12" s="88">
        <f>IF(B12=0,1,0)</f>
        <v>0</v>
      </c>
      <c r="H12" s="89">
        <f>F12*G12</f>
        <v>0</v>
      </c>
      <c r="I12" s="210" t="str">
        <f ca="1">OFFSET(L!$C$1,MATCH("Checker"&amp;"Comp",L!$A:$A,0)-1,SL,,)</f>
        <v>Complete</v>
      </c>
      <c r="J12" s="22" t="str">
        <f ca="1">OFFSET(L!$C$1,MATCH("Checker"&amp;ADDRESS(ROW(),COLUMN(),4),L!$A:$A,0)-1,SL,,)</f>
        <v>Provide a phone number for authorized company representative on Declaration tab cell D21</v>
      </c>
    </row>
    <row r="13" spans="1:10" ht="39">
      <c r="A13" s="110" t="str">
        <f ca="1">Declaration!B22</f>
        <v>Effective Date (*):</v>
      </c>
      <c r="B13" s="111">
        <f>Declaration!D22</f>
        <v>42765</v>
      </c>
      <c r="C13" s="109" t="str">
        <f t="shared" ca="1" si="3"/>
        <v>Complete</v>
      </c>
      <c r="D13" s="119" t="str">
        <f>IF(H13=1,"Click here to enter Date of Completion","")</f>
        <v/>
      </c>
      <c r="E13" s="91" t="s">
        <v>2521</v>
      </c>
      <c r="F13" s="117">
        <v>1</v>
      </c>
      <c r="G13" s="88">
        <f t="shared" si="4"/>
        <v>0</v>
      </c>
      <c r="H13" s="89">
        <f t="shared" si="2"/>
        <v>0</v>
      </c>
      <c r="I13" s="210" t="str">
        <f ca="1">OFFSET(L!$C$1,MATCH("Checker"&amp;"Comp",L!$A:$A,0)-1,SL,,)</f>
        <v>Complete</v>
      </c>
      <c r="J13" s="22" t="str">
        <f ca="1">OFFSET(L!$C$1,MATCH("Checker"&amp;ADDRESS(ROW(),COLUMN(),4),L!$A:$A,0)-1,SL,,)</f>
        <v>Provide date the form was completed on Declaration tab cell D22</v>
      </c>
    </row>
    <row r="14" spans="1:10" ht="63.75">
      <c r="A14" s="109" t="str">
        <f ca="1">Declaration!B25</f>
        <v>1) Is the 3TG intentionally added to your product? (*)</v>
      </c>
      <c r="B14" s="112"/>
      <c r="C14" s="112"/>
      <c r="D14" s="120"/>
      <c r="E14" s="91" t="s">
        <v>1429</v>
      </c>
      <c r="F14" s="117"/>
      <c r="G14" s="24"/>
      <c r="H14" s="90">
        <f t="shared" si="2"/>
        <v>0</v>
      </c>
    </row>
    <row r="15" spans="1:10" ht="26.25">
      <c r="A15" s="110" t="str">
        <f ca="1">Declaration!B26</f>
        <v>Tantalum  (*)</v>
      </c>
      <c r="B15" s="109" t="str">
        <f>Declaration!D26</f>
        <v>Yes</v>
      </c>
      <c r="C15" s="109" t="str">
        <f t="shared" ca="1" si="3"/>
        <v>Complete</v>
      </c>
      <c r="D15" s="119" t="str">
        <f>IF(H15=1,"Click here to answer question 1 for Tantalum","")</f>
        <v/>
      </c>
      <c r="E15" s="91" t="s">
        <v>1425</v>
      </c>
      <c r="F15" s="117">
        <v>1</v>
      </c>
      <c r="G15" s="88">
        <f t="shared" si="4"/>
        <v>0</v>
      </c>
      <c r="H15" s="89">
        <f t="shared" si="2"/>
        <v>0</v>
      </c>
      <c r="I15" s="210" t="str">
        <f ca="1">OFFSET(L!$C$1,MATCH("Checker"&amp;"Comp",L!$A:$A,0)-1,SL,,)</f>
        <v>Complete</v>
      </c>
      <c r="J15" s="211" t="str">
        <f ca="1">OFFSET(L!$C$1,MATCH("Checker"&amp;ADDRESS(ROW(),COLUMN(),4),L!$A:$A,0)-1,SL,,)</f>
        <v>Declare if Tantalum is intentionally added to your products on Declaration tab cell D26</v>
      </c>
    </row>
    <row r="16" spans="1:10" ht="39">
      <c r="A16" s="110" t="str">
        <f ca="1">Declaration!B27</f>
        <v>Tin  (*)</v>
      </c>
      <c r="B16" s="109" t="str">
        <f>Declaration!D27</f>
        <v>Yes</v>
      </c>
      <c r="C16" s="109" t="str">
        <f t="shared" ca="1" si="3"/>
        <v>Complete</v>
      </c>
      <c r="D16" s="119" t="str">
        <f>IF(H16=1,"Click here to answer question 1 for Tin","")</f>
        <v/>
      </c>
      <c r="E16" s="91" t="s">
        <v>1426</v>
      </c>
      <c r="F16" s="117">
        <v>1</v>
      </c>
      <c r="G16" s="88">
        <f t="shared" si="4"/>
        <v>0</v>
      </c>
      <c r="H16" s="89">
        <f t="shared" si="2"/>
        <v>0</v>
      </c>
      <c r="I16" s="210" t="str">
        <f ca="1">OFFSET(L!$C$1,MATCH("Checker"&amp;"Comp",L!$A:$A,0)-1,SL,,)</f>
        <v>Complete</v>
      </c>
      <c r="J16" s="211" t="str">
        <f ca="1">OFFSET(L!$C$1,MATCH("Checker"&amp;ADDRESS(ROW(),COLUMN(),4),L!$A:$A,0)-1,SL,,)</f>
        <v>Declare if Tin is intentionally added to your products on Declaration tab cell D27</v>
      </c>
    </row>
    <row r="17" spans="1:10" ht="39">
      <c r="A17" s="110" t="str">
        <f ca="1">Declaration!B28</f>
        <v>Gold  (*)</v>
      </c>
      <c r="B17" s="109" t="str">
        <f>Declaration!D28</f>
        <v>Yes</v>
      </c>
      <c r="C17" s="109" t="str">
        <f t="shared" ca="1" si="3"/>
        <v>Complete</v>
      </c>
      <c r="D17" s="119" t="str">
        <f>IF(H17=1,"Click here to answer question 1 for Gold","")</f>
        <v/>
      </c>
      <c r="E17" s="91" t="s">
        <v>1426</v>
      </c>
      <c r="F17" s="117">
        <v>1</v>
      </c>
      <c r="G17" s="88">
        <f t="shared" si="4"/>
        <v>0</v>
      </c>
      <c r="H17" s="89">
        <f t="shared" si="2"/>
        <v>0</v>
      </c>
      <c r="I17" s="210" t="str">
        <f ca="1">OFFSET(L!$C$1,MATCH("Checker"&amp;"Comp",L!$A:$A,0)-1,SL,,)</f>
        <v>Complete</v>
      </c>
      <c r="J17" s="211" t="str">
        <f ca="1">OFFSET(L!$C$1,MATCH("Checker"&amp;ADDRESS(ROW(),COLUMN(),4),L!$A:$A,0)-1,SL,,)</f>
        <v>Declare if Gold is intentionally added to your products on Declaration tab cell D28</v>
      </c>
    </row>
    <row r="18" spans="1:10" ht="39">
      <c r="A18" s="110" t="str">
        <f ca="1">Declaration!B29</f>
        <v>Tungsten  (*)</v>
      </c>
      <c r="B18" s="109" t="str">
        <f>Declaration!D29</f>
        <v>No</v>
      </c>
      <c r="C18" s="109" t="str">
        <f t="shared" ca="1" si="3"/>
        <v>Complete</v>
      </c>
      <c r="D18" s="119" t="str">
        <f>IF(H18=1,"Click here to answer question 1 for Tungsten","")</f>
        <v/>
      </c>
      <c r="E18" s="91" t="s">
        <v>1426</v>
      </c>
      <c r="F18" s="117">
        <v>1</v>
      </c>
      <c r="G18" s="88">
        <f t="shared" si="4"/>
        <v>0</v>
      </c>
      <c r="H18" s="89">
        <f t="shared" si="2"/>
        <v>0</v>
      </c>
      <c r="I18" s="210" t="str">
        <f ca="1">OFFSET(L!$C$1,MATCH("Checker"&amp;"Comp",L!$A:$A,0)-1,SL,,)</f>
        <v>Complete</v>
      </c>
      <c r="J18" s="211" t="str">
        <f ca="1">OFFSET(L!$C$1,MATCH("Checker"&amp;ADDRESS(ROW(),COLUMN(),4),L!$A:$A,0)-1,SL,,)</f>
        <v>Declare if Tungsten is intentionally added to your products on Declaration tab cell D29</v>
      </c>
    </row>
    <row r="19" spans="1:10" ht="51">
      <c r="A19" s="109" t="str">
        <f ca="1">Declaration!B31</f>
        <v>2) Is the 3TG necessary to the production of your company’s products and contained in the finished product that your company manufactures or contracts to manufacture?  (*)</v>
      </c>
      <c r="B19" s="112"/>
      <c r="C19" s="112"/>
      <c r="D19" s="120"/>
      <c r="E19" s="91" t="s">
        <v>1427</v>
      </c>
      <c r="F19" s="117"/>
      <c r="G19" s="24"/>
      <c r="H19" s="24"/>
      <c r="J19" s="211"/>
    </row>
    <row r="20" spans="1:10" ht="39">
      <c r="A20" s="110" t="str">
        <f ca="1">Declaration!B32</f>
        <v>Tantalum  (*)</v>
      </c>
      <c r="B20" s="109" t="str">
        <f>Declaration!D32</f>
        <v>Yes</v>
      </c>
      <c r="C20" s="109" t="str">
        <f t="shared" ca="1" si="3"/>
        <v>Complete</v>
      </c>
      <c r="D20" s="121" t="str">
        <f>IF(H20=1,"Click here to answer question 2 for Tantalum","")</f>
        <v/>
      </c>
      <c r="E20" s="91" t="s">
        <v>1426</v>
      </c>
      <c r="F20" s="117">
        <v>1</v>
      </c>
      <c r="G20" s="88">
        <f t="shared" si="4"/>
        <v>0</v>
      </c>
      <c r="H20" s="89">
        <f t="shared" si="2"/>
        <v>0</v>
      </c>
      <c r="I20" s="210" t="str">
        <f ca="1">OFFSET(L!$C$1,MATCH("Checker"&amp;"Comp",L!$A:$A,0)-1,SL,,)</f>
        <v>Complete</v>
      </c>
      <c r="J20" s="211" t="str">
        <f ca="1">OFFSET(L!$C$1,MATCH("Checker"&amp;ADDRESS(ROW(),COLUMN(),4),L!$A:$A,0)-1,SL,,)</f>
        <v>Declare if Tantalum is necessary to the production of your products and contained within the finished products declared in Declaration tab cell D32</v>
      </c>
    </row>
    <row r="21" spans="1:10" ht="39">
      <c r="A21" s="110" t="str">
        <f ca="1">Declaration!B33</f>
        <v>Tin  (*)</v>
      </c>
      <c r="B21" s="109" t="str">
        <f>Declaration!D33</f>
        <v>Yes</v>
      </c>
      <c r="C21" s="109" t="str">
        <f t="shared" ca="1" si="3"/>
        <v>Complete</v>
      </c>
      <c r="D21" s="121" t="str">
        <f>IF(H21=1,"Click here to answer question 2 for Tin","")</f>
        <v/>
      </c>
      <c r="E21" s="91" t="s">
        <v>1426</v>
      </c>
      <c r="F21" s="117">
        <v>1</v>
      </c>
      <c r="G21" s="88">
        <f t="shared" si="4"/>
        <v>0</v>
      </c>
      <c r="H21" s="89">
        <f t="shared" si="2"/>
        <v>0</v>
      </c>
      <c r="I21" s="210" t="str">
        <f ca="1">OFFSET(L!$C$1,MATCH("Checker"&amp;"Comp",L!$A:$A,0)-1,SL,,)</f>
        <v>Complete</v>
      </c>
      <c r="J21" s="211" t="str">
        <f ca="1">OFFSET(L!$C$1,MATCH("Checker"&amp;ADDRESS(ROW(),COLUMN(),4),L!$A:$A,0)-1,SL,,)</f>
        <v>Declare if Tin is necessary to the production of your products and contained within the finished products declared in Declaration tab cell D33</v>
      </c>
    </row>
    <row r="22" spans="1:10" ht="39">
      <c r="A22" s="110" t="str">
        <f ca="1">Declaration!B34</f>
        <v>Gold  (*)</v>
      </c>
      <c r="B22" s="109" t="str">
        <f>Declaration!D34</f>
        <v>Yes</v>
      </c>
      <c r="C22" s="109" t="str">
        <f t="shared" ca="1" si="3"/>
        <v>Complete</v>
      </c>
      <c r="D22" s="121" t="str">
        <f>IF(H22=1,"Click here to answer question 2 for Gold","")</f>
        <v/>
      </c>
      <c r="E22" s="91" t="s">
        <v>1426</v>
      </c>
      <c r="F22" s="117">
        <v>1</v>
      </c>
      <c r="G22" s="88">
        <f t="shared" si="4"/>
        <v>0</v>
      </c>
      <c r="H22" s="89">
        <f t="shared" si="2"/>
        <v>0</v>
      </c>
      <c r="I22" s="210" t="str">
        <f ca="1">OFFSET(L!$C$1,MATCH("Checker"&amp;"Comp",L!$A:$A,0)-1,SL,,)</f>
        <v>Complete</v>
      </c>
      <c r="J22" s="211" t="str">
        <f ca="1">OFFSET(L!$C$1,MATCH("Checker"&amp;ADDRESS(ROW(),COLUMN(),4),L!$A:$A,0)-1,SL,,)</f>
        <v>Declare if Gold is necessary to the production of your products and contained within the finished products declared in Declaration tab cell D34</v>
      </c>
    </row>
    <row r="23" spans="1:10" ht="39">
      <c r="A23" s="110" t="str">
        <f ca="1">Declaration!B35</f>
        <v>Tungsten  (*)</v>
      </c>
      <c r="B23" s="109" t="str">
        <f>Declaration!D35</f>
        <v>No</v>
      </c>
      <c r="C23" s="109" t="str">
        <f t="shared" ca="1" si="3"/>
        <v>Complete</v>
      </c>
      <c r="D23" s="121" t="str">
        <f>IF(H23=1,"Click here to answer question 2 for Tungsten","")</f>
        <v/>
      </c>
      <c r="E23" s="91" t="s">
        <v>1426</v>
      </c>
      <c r="F23" s="117">
        <v>1</v>
      </c>
      <c r="G23" s="88">
        <f t="shared" si="4"/>
        <v>0</v>
      </c>
      <c r="H23" s="89">
        <f t="shared" si="2"/>
        <v>0</v>
      </c>
      <c r="I23" s="210" t="str">
        <f ca="1">OFFSET(L!$C$1,MATCH("Checker"&amp;"Comp",L!$A:$A,0)-1,SL,,)</f>
        <v>Complete</v>
      </c>
      <c r="J23" s="211" t="str">
        <f ca="1">OFFSET(L!$C$1,MATCH("Checker"&amp;ADDRESS(ROW(),COLUMN(),4),L!$A:$A,0)-1,SL,,)</f>
        <v>Declare if Tungsten is necessary to the production of your products and contained within the finished products declared in Declaration tab cell D35</v>
      </c>
    </row>
    <row r="24" spans="1:10" ht="38.25">
      <c r="A24" s="109" t="str">
        <f ca="1">Declaration!B37</f>
        <v>3) Do any of the smelters in your supply chain source the 3TG from the covered countries? (SEC term, see definitions tab) (*)</v>
      </c>
      <c r="B24" s="112"/>
      <c r="C24" s="112"/>
      <c r="D24" s="120"/>
      <c r="E24" s="91" t="s">
        <v>1426</v>
      </c>
      <c r="F24" s="117"/>
      <c r="G24" s="24"/>
      <c r="H24" s="24"/>
      <c r="J24" s="211"/>
    </row>
    <row r="25" spans="1:10" ht="51">
      <c r="A25" s="110" t="str">
        <f ca="1">Declaration!B38</f>
        <v>Tantalum  (*)</v>
      </c>
      <c r="B25" s="109" t="str">
        <f>Declaration!D38</f>
        <v>No</v>
      </c>
      <c r="C25" s="109" t="str">
        <f t="shared" ca="1" si="3"/>
        <v>Complete</v>
      </c>
      <c r="D25" s="121" t="str">
        <f>IF(H25=1,"Click here to answer question 3 for Tantalum","")</f>
        <v/>
      </c>
      <c r="E25" s="91" t="s">
        <v>1426</v>
      </c>
      <c r="F25" s="118">
        <f>IF(AND(B$15="No",B$20="No"),0,1)</f>
        <v>1</v>
      </c>
      <c r="G25" s="88">
        <f t="shared" ref="G25:G60" si="5">IF(B25=0,1,0)</f>
        <v>0</v>
      </c>
      <c r="H25" s="89">
        <f t="shared" ref="H25:H61" si="6">F25*G25</f>
        <v>0</v>
      </c>
      <c r="I25" s="210"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10" t="str">
        <f ca="1">Declaration!B39</f>
        <v>Tin  (*)</v>
      </c>
      <c r="B26" s="109" t="str">
        <f>Declaration!D39</f>
        <v>No</v>
      </c>
      <c r="C26" s="109" t="str">
        <f t="shared" ca="1" si="3"/>
        <v>Complete</v>
      </c>
      <c r="D26" s="121" t="str">
        <f>IF(H26=1,"Click here to answer question 3 for Tin","")</f>
        <v/>
      </c>
      <c r="E26" s="91" t="s">
        <v>1426</v>
      </c>
      <c r="F26" s="118">
        <f>IF(AND(B$16="No",B$21="No"),0,1)</f>
        <v>1</v>
      </c>
      <c r="G26" s="88">
        <f t="shared" si="5"/>
        <v>0</v>
      </c>
      <c r="H26" s="89">
        <f t="shared" si="6"/>
        <v>0</v>
      </c>
      <c r="I26" s="210"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10" t="str">
        <f ca="1">Declaration!B40</f>
        <v>Gold  (*)</v>
      </c>
      <c r="B27" s="109" t="str">
        <f>Declaration!D40</f>
        <v>No</v>
      </c>
      <c r="C27" s="109" t="str">
        <f t="shared" ca="1" si="3"/>
        <v>Complete</v>
      </c>
      <c r="D27" s="121" t="str">
        <f>IF(H27=1,"Click here to answer question 3 for Gold","")</f>
        <v/>
      </c>
      <c r="E27" s="91" t="s">
        <v>1426</v>
      </c>
      <c r="F27" s="118">
        <f>IF(AND(B$17="No",B$22="No"),0,1)</f>
        <v>1</v>
      </c>
      <c r="G27" s="88">
        <f t="shared" si="5"/>
        <v>0</v>
      </c>
      <c r="H27" s="89">
        <f t="shared" si="6"/>
        <v>0</v>
      </c>
      <c r="I27" s="210"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51">
      <c r="A28" s="110" t="str">
        <f ca="1">Declaration!B41</f>
        <v xml:space="preserve">Tungsten  </v>
      </c>
      <c r="B28" s="109">
        <f>Declaration!D41</f>
        <v>0</v>
      </c>
      <c r="C28" s="109" t="str">
        <f t="shared" ca="1" si="3"/>
        <v>Complete</v>
      </c>
      <c r="D28" s="121" t="str">
        <f>IF(H28=1,"Click here to answer question 3 for Tungsten","")</f>
        <v/>
      </c>
      <c r="E28" s="91" t="s">
        <v>1426</v>
      </c>
      <c r="F28" s="118">
        <f>IF(AND(B$18="No",B$23="No"),0,1)</f>
        <v>0</v>
      </c>
      <c r="G28" s="88">
        <f t="shared" si="5"/>
        <v>1</v>
      </c>
      <c r="H28" s="89">
        <f t="shared" si="6"/>
        <v>0</v>
      </c>
      <c r="I28" s="210"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09" t="str">
        <f ca="1">Declaration!B43</f>
        <v>4) Does 100 percent of the 3TG (necessary to the functionality or production of your products) originate from recycled or scrap sources?  (*)</v>
      </c>
      <c r="B29" s="112"/>
      <c r="C29" s="112"/>
      <c r="D29" s="120"/>
      <c r="E29" s="91" t="s">
        <v>2521</v>
      </c>
      <c r="F29" s="117"/>
      <c r="G29" s="24"/>
      <c r="H29" s="24"/>
      <c r="J29" s="211"/>
    </row>
    <row r="30" spans="1:10" ht="51">
      <c r="A30" s="110" t="str">
        <f ca="1">Declaration!B44</f>
        <v>Tantalum  (*)</v>
      </c>
      <c r="B30" s="109" t="str">
        <f>Declaration!D44</f>
        <v>Unknown</v>
      </c>
      <c r="C30" s="109" t="str">
        <f ca="1">IF(H30=1,J30,I30)</f>
        <v>Complete</v>
      </c>
      <c r="D30" s="121" t="str">
        <f>IF(H30=1,"Click here to answer question 4 for Tantalum","")</f>
        <v/>
      </c>
      <c r="E30" s="91" t="s">
        <v>2521</v>
      </c>
      <c r="F30" s="118">
        <f>F25</f>
        <v>1</v>
      </c>
      <c r="G30" s="88">
        <f>IF(B30=0,1,0)</f>
        <v>0</v>
      </c>
      <c r="H30" s="89">
        <f>F30*G30</f>
        <v>0</v>
      </c>
      <c r="I30" s="210" t="str">
        <f ca="1">OFFSET(L!$C$1,MATCH("Checker"&amp;"Comp",L!$A:$A,0)-1,SL,,)</f>
        <v>Complete</v>
      </c>
      <c r="J30" s="211" t="str">
        <f ca="1">OFFSET(L!$C$1,MATCH("Checker"&amp;ADDRESS(ROW(),COLUMN(),4),L!$A:$A,0)-1,SL,,)</f>
        <v>Declare if Tantalum used within the scope of products declared within this survey response originated entirely from a recycled or scrap source on the Declaration tab cell D44</v>
      </c>
    </row>
    <row r="31" spans="1:10" ht="39">
      <c r="A31" s="110" t="str">
        <f ca="1">Declaration!B45</f>
        <v>Tin  (*)</v>
      </c>
      <c r="B31" s="109" t="str">
        <f>Declaration!D45</f>
        <v>Unknown</v>
      </c>
      <c r="C31" s="109" t="str">
        <f ca="1">IF(H31=1,J31,I31)</f>
        <v>Complete</v>
      </c>
      <c r="D31" s="121" t="str">
        <f>IF(H31=1,"Click here to answer question 4 for Tin","")</f>
        <v/>
      </c>
      <c r="E31" s="91" t="s">
        <v>2521</v>
      </c>
      <c r="F31" s="118">
        <f>F26</f>
        <v>1</v>
      </c>
      <c r="G31" s="88">
        <f>IF(B31=0,1,0)</f>
        <v>0</v>
      </c>
      <c r="H31" s="89">
        <f>F31*G31</f>
        <v>0</v>
      </c>
      <c r="I31" s="210" t="str">
        <f ca="1">OFFSET(L!$C$1,MATCH("Checker"&amp;"Comp",L!$A:$A,0)-1,SL,,)</f>
        <v>Complete</v>
      </c>
      <c r="J31" s="211" t="str">
        <f ca="1">OFFSET(L!$C$1,MATCH("Checker"&amp;ADDRESS(ROW(),COLUMN(),4),L!$A:$A,0)-1,SL,,)</f>
        <v>Declare if Tin used within the scope of products declared within this survey response originated entirely from a recycled or scrap source on the Declaration tab cell D45</v>
      </c>
    </row>
    <row r="32" spans="1:10" ht="39">
      <c r="A32" s="110" t="str">
        <f ca="1">Declaration!B46</f>
        <v>Gold  (*)</v>
      </c>
      <c r="B32" s="109" t="str">
        <f>Declaration!D46</f>
        <v>Unknown</v>
      </c>
      <c r="C32" s="109" t="str">
        <f ca="1">IF(H32=1,J32,I32)</f>
        <v>Complete</v>
      </c>
      <c r="D32" s="121" t="str">
        <f>IF(H32=1,"Click here to answer question 4 for Gold","")</f>
        <v/>
      </c>
      <c r="E32" s="91" t="s">
        <v>2521</v>
      </c>
      <c r="F32" s="118">
        <f>F27</f>
        <v>1</v>
      </c>
      <c r="G32" s="88">
        <f>IF(B32=0,1,0)</f>
        <v>0</v>
      </c>
      <c r="H32" s="89">
        <f>F32*G32</f>
        <v>0</v>
      </c>
      <c r="I32" s="210" t="str">
        <f ca="1">OFFSET(L!$C$1,MATCH("Checker"&amp;"Comp",L!$A:$A,0)-1,SL,,)</f>
        <v>Complete</v>
      </c>
      <c r="J32" s="211" t="str">
        <f ca="1">OFFSET(L!$C$1,MATCH("Checker"&amp;ADDRESS(ROW(),COLUMN(),4),L!$A:$A,0)-1,SL,,)</f>
        <v>Declare if Gold used within the scope of products declared within this survey response originated entirely from a recycled or scrap source on the Declaration tab cell D46</v>
      </c>
    </row>
    <row r="33" spans="1:10" ht="51">
      <c r="A33" s="110" t="str">
        <f ca="1">Declaration!B47</f>
        <v xml:space="preserve">Tungsten  </v>
      </c>
      <c r="B33" s="109">
        <f>Declaration!D47</f>
        <v>0</v>
      </c>
      <c r="C33" s="109" t="str">
        <f ca="1">IF(H33=1,J33,I33)</f>
        <v>Complete</v>
      </c>
      <c r="D33" s="121" t="str">
        <f>IF(H33=1,"Click here to answer question 4 for Tungsten","")</f>
        <v/>
      </c>
      <c r="E33" s="91" t="s">
        <v>2521</v>
      </c>
      <c r="F33" s="118">
        <f>F28</f>
        <v>0</v>
      </c>
      <c r="G33" s="88">
        <f>IF(B33=0,1,0)</f>
        <v>1</v>
      </c>
      <c r="H33" s="89">
        <f>F33*G33</f>
        <v>0</v>
      </c>
      <c r="I33" s="210" t="str">
        <f ca="1">OFFSET(L!$C$1,MATCH("Checker"&amp;"Comp",L!$A:$A,0)-1,SL,,)</f>
        <v>Complete</v>
      </c>
      <c r="J33" s="211" t="str">
        <f ca="1">OFFSET(L!$C$1,MATCH("Checker"&amp;ADDRESS(ROW(),COLUMN(),4),L!$A:$A,0)-1,SL,,)</f>
        <v>Declare if Tungsten used within the scope of products declared within this survey response originated entirely from a recycled or scrap source on the Declaration tab cell D47</v>
      </c>
    </row>
    <row r="34" spans="1:10" ht="38.25">
      <c r="A34" s="109" t="str">
        <f ca="1">Declaration!B49</f>
        <v>5) Have you received data/information for each 3TG from all relevant suppliers? (*)</v>
      </c>
      <c r="B34" s="112"/>
      <c r="C34" s="112"/>
      <c r="D34" s="120"/>
      <c r="E34" s="91" t="s">
        <v>1426</v>
      </c>
      <c r="F34" s="117"/>
      <c r="G34" s="24"/>
      <c r="H34" s="24"/>
    </row>
    <row r="35" spans="1:10" ht="26.25">
      <c r="A35" s="110" t="str">
        <f ca="1">Declaration!B50</f>
        <v>Tantalum  (*)</v>
      </c>
      <c r="B35" s="109" t="str">
        <f>Declaration!D50</f>
        <v>Yes, 100%</v>
      </c>
      <c r="C35" s="109" t="str">
        <f t="shared" ca="1" si="3"/>
        <v>Complete</v>
      </c>
      <c r="D35" s="119" t="str">
        <f>IF(H35=1,"Click here to answer question 5 for Tantalum","")</f>
        <v/>
      </c>
      <c r="E35" s="91" t="s">
        <v>1425</v>
      </c>
      <c r="F35" s="118">
        <f>F25</f>
        <v>1</v>
      </c>
      <c r="G35" s="88">
        <f t="shared" si="5"/>
        <v>0</v>
      </c>
      <c r="H35" s="89">
        <f t="shared" si="6"/>
        <v>0</v>
      </c>
      <c r="I35" s="210" t="str">
        <f ca="1">OFFSET(L!$C$1,MATCH("Checker"&amp;"Comp",L!$A:$A,0)-1,SL,,)</f>
        <v>Complete</v>
      </c>
      <c r="J35" s="22" t="str">
        <f ca="1">OFFSET(L!$C$1,MATCH("Checker"&amp;ADDRESS(ROW(),COLUMN(),4),L!$A:$A,0)-1,SL,,)</f>
        <v>Provide % of completeness of supplier's smelter information on Declaration tab cell D50</v>
      </c>
    </row>
    <row r="36" spans="1:10" ht="26.25">
      <c r="A36" s="110" t="str">
        <f ca="1">Declaration!B51</f>
        <v>Tin  (*)</v>
      </c>
      <c r="B36" s="109" t="str">
        <f>Declaration!D51</f>
        <v>Yes, 100%</v>
      </c>
      <c r="C36" s="109" t="str">
        <f t="shared" ca="1" si="3"/>
        <v>Complete</v>
      </c>
      <c r="D36" s="119" t="str">
        <f>IF(H36=1,"Click here to answer question 5 for Tin","")</f>
        <v/>
      </c>
      <c r="E36" s="91" t="s">
        <v>1425</v>
      </c>
      <c r="F36" s="118">
        <f>F26</f>
        <v>1</v>
      </c>
      <c r="G36" s="88">
        <f t="shared" si="5"/>
        <v>0</v>
      </c>
      <c r="H36" s="89">
        <f t="shared" si="6"/>
        <v>0</v>
      </c>
      <c r="I36" s="210" t="str">
        <f ca="1">OFFSET(L!$C$1,MATCH("Checker"&amp;"Comp",L!$A:$A,0)-1,SL,,)</f>
        <v>Complete</v>
      </c>
      <c r="J36" s="22" t="str">
        <f ca="1">OFFSET(L!$C$1,MATCH("Checker"&amp;ADDRESS(ROW(),COLUMN(),4),L!$A:$A,0)-1,SL,,)</f>
        <v>Provide % of completeness of supplier's smelter information on Declaration tab cell D51</v>
      </c>
    </row>
    <row r="37" spans="1:10" ht="26.25">
      <c r="A37" s="110" t="str">
        <f ca="1">Declaration!B52</f>
        <v>Gold  (*)</v>
      </c>
      <c r="B37" s="109" t="str">
        <f>Declaration!D52</f>
        <v>Yes, 100%</v>
      </c>
      <c r="C37" s="109" t="str">
        <f t="shared" ca="1" si="3"/>
        <v>Complete</v>
      </c>
      <c r="D37" s="119" t="str">
        <f>IF(H37=1,"Click here to answer question 5 for Gold","")</f>
        <v/>
      </c>
      <c r="E37" s="91" t="s">
        <v>1425</v>
      </c>
      <c r="F37" s="118">
        <f>F27</f>
        <v>1</v>
      </c>
      <c r="G37" s="88">
        <f t="shared" si="5"/>
        <v>0</v>
      </c>
      <c r="H37" s="89">
        <f t="shared" si="6"/>
        <v>0</v>
      </c>
      <c r="I37" s="210" t="str">
        <f ca="1">OFFSET(L!$C$1,MATCH("Checker"&amp;"Comp",L!$A:$A,0)-1,SL,,)</f>
        <v>Complete</v>
      </c>
      <c r="J37" s="22" t="str">
        <f ca="1">OFFSET(L!$C$1,MATCH("Checker"&amp;ADDRESS(ROW(),COLUMN(),4),L!$A:$A,0)-1,SL,,)</f>
        <v>Provide % of completeness of supplier's smelter information on Declaration tab cell D52</v>
      </c>
    </row>
    <row r="38" spans="1:10" ht="26.25">
      <c r="A38" s="110" t="str">
        <f ca="1">Declaration!B53</f>
        <v xml:space="preserve">Tungsten  </v>
      </c>
      <c r="B38" s="109">
        <f>Declaration!D53</f>
        <v>0</v>
      </c>
      <c r="C38" s="109" t="str">
        <f t="shared" ca="1" si="3"/>
        <v>Complete</v>
      </c>
      <c r="D38" s="119" t="str">
        <f>IF(H38=1,"Click here to answer question 5 for Tungsten","")</f>
        <v/>
      </c>
      <c r="E38" s="91" t="s">
        <v>1425</v>
      </c>
      <c r="F38" s="118">
        <f>F28</f>
        <v>0</v>
      </c>
      <c r="G38" s="88">
        <f t="shared" si="5"/>
        <v>1</v>
      </c>
      <c r="H38" s="89">
        <f t="shared" si="6"/>
        <v>0</v>
      </c>
      <c r="I38" s="210" t="str">
        <f ca="1">OFFSET(L!$C$1,MATCH("Checker"&amp;"Comp",L!$A:$A,0)-1,SL,,)</f>
        <v>Complete</v>
      </c>
      <c r="J38" s="22" t="str">
        <f ca="1">OFFSET(L!$C$1,MATCH("Checker"&amp;ADDRESS(ROW(),COLUMN(),4),L!$A:$A,0)-1,SL,,)</f>
        <v>Provide % of completeness of supplier's smelter information on Declaration tab cell D53</v>
      </c>
    </row>
    <row r="39" spans="1:10" ht="51">
      <c r="A39" s="109" t="str">
        <f ca="1">Declaration!B55</f>
        <v>6) Have you identified all of the smelters supplying the 3TG to your supply chain?  (*)</v>
      </c>
      <c r="B39" s="112"/>
      <c r="C39" s="112"/>
      <c r="D39" s="120"/>
      <c r="E39" s="91" t="s">
        <v>1427</v>
      </c>
      <c r="F39" s="117"/>
      <c r="G39" s="24"/>
      <c r="H39" s="24"/>
    </row>
    <row r="40" spans="1:10" ht="51.75">
      <c r="A40" s="110" t="str">
        <f ca="1">Declaration!B56</f>
        <v>Tantalum  (*)</v>
      </c>
      <c r="B40" s="109" t="str">
        <f>Declaration!D56</f>
        <v>No</v>
      </c>
      <c r="C40" s="109" t="str">
        <f t="shared" ca="1" si="3"/>
        <v>Complete</v>
      </c>
      <c r="D40" s="121" t="str">
        <f>IF(H40=1,"Click here to answer question 6 for Tantalum","")</f>
        <v/>
      </c>
      <c r="E40" s="91" t="s">
        <v>2517</v>
      </c>
      <c r="F40" s="118">
        <f>F25</f>
        <v>1</v>
      </c>
      <c r="G40" s="88">
        <f t="shared" si="5"/>
        <v>0</v>
      </c>
      <c r="H40" s="89">
        <f t="shared" si="6"/>
        <v>0</v>
      </c>
      <c r="I40" s="210"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10" t="str">
        <f ca="1">Declaration!B57</f>
        <v>Tin  (*)</v>
      </c>
      <c r="B41" s="109" t="str">
        <f>Declaration!D57</f>
        <v>No</v>
      </c>
      <c r="C41" s="109" t="str">
        <f t="shared" ca="1" si="3"/>
        <v>Complete</v>
      </c>
      <c r="D41" s="121" t="str">
        <f>IF(H41=1,"Click here to answer question 6 for Tin","")</f>
        <v/>
      </c>
      <c r="E41" s="91" t="s">
        <v>2517</v>
      </c>
      <c r="F41" s="118">
        <f>F26</f>
        <v>1</v>
      </c>
      <c r="G41" s="88">
        <f t="shared" si="5"/>
        <v>0</v>
      </c>
      <c r="H41" s="89">
        <f t="shared" si="6"/>
        <v>0</v>
      </c>
      <c r="I41" s="210"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10" t="str">
        <f ca="1">Declaration!B58</f>
        <v>Gold  (*)</v>
      </c>
      <c r="B42" s="109" t="str">
        <f>Declaration!D58</f>
        <v>No</v>
      </c>
      <c r="C42" s="109" t="str">
        <f t="shared" ca="1" si="3"/>
        <v>Complete</v>
      </c>
      <c r="D42" s="121" t="str">
        <f>IF(H42=1,"Click here to answer question 6 for Gold","")</f>
        <v/>
      </c>
      <c r="E42" s="91" t="s">
        <v>2517</v>
      </c>
      <c r="F42" s="118">
        <f>F27</f>
        <v>1</v>
      </c>
      <c r="G42" s="88">
        <f t="shared" si="5"/>
        <v>0</v>
      </c>
      <c r="H42" s="89">
        <f t="shared" si="6"/>
        <v>0</v>
      </c>
      <c r="I42" s="210"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10" t="str">
        <f ca="1">Declaration!B59</f>
        <v xml:space="preserve">Tungsten  </v>
      </c>
      <c r="B43" s="109">
        <f>Declaration!D59</f>
        <v>0</v>
      </c>
      <c r="C43" s="109" t="str">
        <f t="shared" ca="1" si="3"/>
        <v>Complete</v>
      </c>
      <c r="D43" s="121" t="str">
        <f>IF(H43=1,"Click here to answer question 6 for Tungsten","")</f>
        <v/>
      </c>
      <c r="E43" s="91" t="s">
        <v>2517</v>
      </c>
      <c r="F43" s="118">
        <f>F28</f>
        <v>0</v>
      </c>
      <c r="G43" s="88">
        <f t="shared" si="5"/>
        <v>1</v>
      </c>
      <c r="H43" s="89">
        <f t="shared" si="6"/>
        <v>0</v>
      </c>
      <c r="I43" s="210"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09" t="str">
        <f ca="1">Declaration!B61</f>
        <v>7) Has all applicable smelter information received by your company been reported in this declaration?  (*)</v>
      </c>
      <c r="B44" s="112"/>
      <c r="C44" s="112"/>
      <c r="D44" s="120"/>
      <c r="E44" s="91" t="s">
        <v>1428</v>
      </c>
      <c r="F44" s="117"/>
      <c r="G44" s="24"/>
      <c r="H44" s="24"/>
    </row>
    <row r="45" spans="1:10" ht="39">
      <c r="A45" s="110" t="str">
        <f ca="1">Declaration!B62</f>
        <v>Tantalum  (*)</v>
      </c>
      <c r="B45" s="109" t="str">
        <f>Declaration!D62</f>
        <v>Yes</v>
      </c>
      <c r="C45" s="109" t="str">
        <f t="shared" ca="1" si="3"/>
        <v>Complete</v>
      </c>
      <c r="D45" s="122" t="str">
        <f>IF(H45=1,"Click here to answer question 7 for Tantalum","")</f>
        <v/>
      </c>
      <c r="E45" s="91" t="s">
        <v>1426</v>
      </c>
      <c r="F45" s="118">
        <f>F25</f>
        <v>1</v>
      </c>
      <c r="G45" s="88">
        <f t="shared" si="5"/>
        <v>0</v>
      </c>
      <c r="H45" s="89">
        <f t="shared" si="6"/>
        <v>0</v>
      </c>
      <c r="I45" s="210" t="str">
        <f ca="1">OFFSET(L!$C$1,MATCH("Checker"&amp;"Comp",L!$A:$A,0)-1,SL,,)</f>
        <v>Complete</v>
      </c>
      <c r="J45" s="22" t="str">
        <f ca="1">OFFSET(L!$C$1,MATCH("Checker"&amp;ADDRESS(ROW(),COLUMN(),4),L!$A:$A,0)-1,SL,,)</f>
        <v>Declare if all applicable Tantalum smelter information has been provided on Declaration tab cell D62</v>
      </c>
    </row>
    <row r="46" spans="1:10" ht="39">
      <c r="A46" s="110" t="str">
        <f ca="1">Declaration!B63</f>
        <v>Tin  (*)</v>
      </c>
      <c r="B46" s="109" t="str">
        <f>Declaration!D63</f>
        <v>Yes</v>
      </c>
      <c r="C46" s="109" t="str">
        <f t="shared" ca="1" si="3"/>
        <v>Complete</v>
      </c>
      <c r="D46" s="122" t="str">
        <f>IF(H46=1,"Click here to answer question 7 for Tin","")</f>
        <v/>
      </c>
      <c r="E46" s="91" t="s">
        <v>1426</v>
      </c>
      <c r="F46" s="118">
        <f>F26</f>
        <v>1</v>
      </c>
      <c r="G46" s="88">
        <f t="shared" si="5"/>
        <v>0</v>
      </c>
      <c r="H46" s="89">
        <f t="shared" si="6"/>
        <v>0</v>
      </c>
      <c r="I46" s="210" t="str">
        <f ca="1">OFFSET(L!$C$1,MATCH("Checker"&amp;"Comp",L!$A:$A,0)-1,SL,,)</f>
        <v>Complete</v>
      </c>
      <c r="J46" s="22" t="str">
        <f ca="1">OFFSET(L!$C$1,MATCH("Checker"&amp;ADDRESS(ROW(),COLUMN(),4),L!$A:$A,0)-1,SL,,)</f>
        <v>Declare if all applicable Tin smelter information has been provided on Declaration tab cell D63</v>
      </c>
    </row>
    <row r="47" spans="1:10" ht="39">
      <c r="A47" s="110" t="str">
        <f ca="1">Declaration!B64</f>
        <v>Gold  (*)</v>
      </c>
      <c r="B47" s="109" t="str">
        <f>Declaration!D64</f>
        <v>Yes</v>
      </c>
      <c r="C47" s="109" t="str">
        <f t="shared" ca="1" si="3"/>
        <v>Complete</v>
      </c>
      <c r="D47" s="122" t="str">
        <f>IF(H47=1,"Click here to answer question 7 for Gold","")</f>
        <v/>
      </c>
      <c r="E47" s="91" t="s">
        <v>1426</v>
      </c>
      <c r="F47" s="118">
        <f>F27</f>
        <v>1</v>
      </c>
      <c r="G47" s="88">
        <f t="shared" si="5"/>
        <v>0</v>
      </c>
      <c r="H47" s="89">
        <f t="shared" si="6"/>
        <v>0</v>
      </c>
      <c r="I47" s="210" t="str">
        <f ca="1">OFFSET(L!$C$1,MATCH("Checker"&amp;"Comp",L!$A:$A,0)-1,SL,,)</f>
        <v>Complete</v>
      </c>
      <c r="J47" s="22" t="str">
        <f ca="1">OFFSET(L!$C$1,MATCH("Checker"&amp;ADDRESS(ROW(),COLUMN(),4),L!$A:$A,0)-1,SL,,)</f>
        <v>Declare if all applicable Gold smelter information has been provided on Declaration tab cell D64</v>
      </c>
    </row>
    <row r="48" spans="1:10" ht="39">
      <c r="A48" s="110" t="str">
        <f ca="1">Declaration!B65</f>
        <v xml:space="preserve">Tungsten  </v>
      </c>
      <c r="B48" s="109">
        <f>Declaration!D65</f>
        <v>0</v>
      </c>
      <c r="C48" s="109" t="str">
        <f t="shared" ca="1" si="3"/>
        <v>Complete</v>
      </c>
      <c r="D48" s="122" t="str">
        <f>IF(H48=1,"Click here to answer question 7 for Tungsten","")</f>
        <v/>
      </c>
      <c r="E48" s="91" t="s">
        <v>1426</v>
      </c>
      <c r="F48" s="118">
        <f>F28</f>
        <v>0</v>
      </c>
      <c r="G48" s="88">
        <f t="shared" si="5"/>
        <v>1</v>
      </c>
      <c r="H48" s="89">
        <f t="shared" si="6"/>
        <v>0</v>
      </c>
      <c r="I48" s="210" t="str">
        <f ca="1">OFFSET(L!$C$1,MATCH("Checker"&amp;"Comp",L!$A:$A,0)-1,SL,,)</f>
        <v>Complete</v>
      </c>
      <c r="J48" s="22" t="str">
        <f ca="1">OFFSET(L!$C$1,MATCH("Checker"&amp;ADDRESS(ROW(),COLUMN(),4),L!$A:$A,0)-1,SL,,)</f>
        <v>Declare if all applicable Tungsten smelter information has been provided on Declaration tab cell D65</v>
      </c>
    </row>
    <row r="49" spans="1:12" ht="25.5">
      <c r="A49" s="109" t="str">
        <f ca="1">Declaration!B68</f>
        <v>Question</v>
      </c>
      <c r="B49" s="112"/>
      <c r="C49" s="112"/>
      <c r="D49" s="120"/>
      <c r="E49" s="91" t="s">
        <v>850</v>
      </c>
      <c r="F49" s="117"/>
      <c r="G49" s="117"/>
      <c r="H49" s="117"/>
    </row>
    <row r="50" spans="1:12" ht="39">
      <c r="A50" s="109" t="str">
        <f ca="1">Declaration!B69</f>
        <v>A. Do you have a policy in place that addresses conflict minerals sourcing? (*)</v>
      </c>
      <c r="B50" s="109" t="str">
        <f>Declaration!D69</f>
        <v>Yes</v>
      </c>
      <c r="C50" s="109" t="str">
        <f t="shared" ca="1" si="3"/>
        <v>Complete</v>
      </c>
      <c r="D50" s="119" t="str">
        <f>IF(H50=1,"Click here to answer question (A)","")</f>
        <v/>
      </c>
      <c r="E50" s="91" t="s">
        <v>2521</v>
      </c>
      <c r="F50" s="118">
        <f>IF(SUM(F$25:F$28)=0,0,1)</f>
        <v>1</v>
      </c>
      <c r="G50" s="88">
        <f t="shared" si="5"/>
        <v>0</v>
      </c>
      <c r="H50" s="89">
        <f t="shared" si="6"/>
        <v>0</v>
      </c>
      <c r="I50" s="210" t="str">
        <f ca="1">OFFSET(L!$C$1,MATCH("Checker"&amp;"Comp",L!$A:$A,0)-1,SL,,)</f>
        <v>Complete</v>
      </c>
      <c r="J50" s="22" t="str">
        <f ca="1">OFFSET(L!$C$1,MATCH("Checker"&amp;ADDRESS(ROW(),COLUMN(),4),L!$A:$A,0)-1,SL,,)</f>
        <v>Answer if your company has a DRC conflict-free sourcing policy on the Declaration tab cell D69</v>
      </c>
    </row>
    <row r="51" spans="1:12" ht="39">
      <c r="A51" s="109" t="str">
        <f ca="1">Declaration!B71</f>
        <v>B. Is your conflict minerals sourcing policy publicly available on your website? (Note – If yes, the user shall specify the URL in the comment field.) (*)</v>
      </c>
      <c r="B51" s="109" t="str">
        <f>Declaration!D71</f>
        <v>Yes</v>
      </c>
      <c r="C51" s="109" t="str">
        <f t="shared" ca="1" si="3"/>
        <v>Complete</v>
      </c>
      <c r="D51" s="119" t="str">
        <f>IF(H51=1,"Click here to answer question (B)","")</f>
        <v/>
      </c>
      <c r="E51" s="91" t="s">
        <v>2521</v>
      </c>
      <c r="F51" s="118">
        <f t="shared" ref="F51:F60" si="7">F$50</f>
        <v>1</v>
      </c>
      <c r="G51" s="88">
        <f t="shared" si="5"/>
        <v>0</v>
      </c>
      <c r="H51" s="89">
        <f t="shared" si="6"/>
        <v>0</v>
      </c>
      <c r="I51" s="210"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15">
      <c r="A52" s="189" t="s">
        <v>6</v>
      </c>
      <c r="B52" s="109" t="str">
        <f>Declaration!G71</f>
        <v>http://www.matrixorbital.ca/ConflictMinerals/</v>
      </c>
      <c r="C52" s="109" t="str">
        <f ca="1">IF(H52=1,J52,I52)</f>
        <v>Complete</v>
      </c>
      <c r="D52" s="119" t="str">
        <f>IF(H52=1,"Click here to specify URL for question (B)","")</f>
        <v/>
      </c>
      <c r="E52" s="91"/>
      <c r="F52" s="118">
        <f>IF(AND(F51=1,B51="Yes"),1,0)</f>
        <v>1</v>
      </c>
      <c r="G52" s="88">
        <f>IF(LEN(B52)&gt;1,0,1)</f>
        <v>0</v>
      </c>
      <c r="H52" s="89">
        <f t="shared" si="6"/>
        <v>0</v>
      </c>
      <c r="I52" s="210" t="str">
        <f ca="1">OFFSET(L!$C$1,MATCH("Checker"&amp;"Comp",L!$A:$A,0)-1,SL,,)</f>
        <v>Complete</v>
      </c>
      <c r="J52" s="190" t="str">
        <f ca="1">OFFSET(L!$C$1,MATCH("Checker"&amp;ADDRESS(ROW(),COLUMN(),4),L!$A:$A,0)-1,SL,,)</f>
        <v>Enter the URL in Declaration worksheet cell G71 if you answer "Yes" for question B. The format of the URL should be "www.companyname.com"</v>
      </c>
    </row>
    <row r="53" spans="1:12" ht="39">
      <c r="A53" s="109" t="str">
        <f ca="1">Declaration!B73</f>
        <v>C. Do you require your direct suppliers to be DRC conflict-free? (*)</v>
      </c>
      <c r="B53" s="109" t="str">
        <f>Declaration!D73</f>
        <v>Yes</v>
      </c>
      <c r="C53" s="109" t="str">
        <f t="shared" ca="1" si="3"/>
        <v>Complete</v>
      </c>
      <c r="D53" s="119" t="str">
        <f>IF(H53=1,"Click here to answer question (C)","")</f>
        <v/>
      </c>
      <c r="E53" s="91" t="s">
        <v>2521</v>
      </c>
      <c r="F53" s="118">
        <f t="shared" si="7"/>
        <v>1</v>
      </c>
      <c r="G53" s="88">
        <f t="shared" si="5"/>
        <v>0</v>
      </c>
      <c r="H53" s="89">
        <f t="shared" si="6"/>
        <v>0</v>
      </c>
      <c r="I53" s="210" t="str">
        <f ca="1">OFFSET(L!$C$1,MATCH("Checker"&amp;"Comp",L!$A:$A,0)-1,SL,,)</f>
        <v>Complete</v>
      </c>
      <c r="J53" s="22" t="str">
        <f ca="1">OFFSET(L!$C$1,MATCH("Checker"&amp;ADDRESS(ROW(),COLUMN(),4),L!$A:$A,0)-1,SL,,)</f>
        <v>Answer if you require your direct suppliers to be DRC conflict-free on the Declaration tab cell D73</v>
      </c>
    </row>
    <row r="54" spans="1:12" ht="51">
      <c r="A54" s="109" t="str">
        <f ca="1">Declaration!B75</f>
        <v>D. Do you require your direct suppliers to source the 3TG from smelters whose due diligence practices have been validated by an independent third party audit program? (*)</v>
      </c>
      <c r="B54" s="109" t="str">
        <f>Declaration!D75</f>
        <v>No</v>
      </c>
      <c r="C54" s="109" t="str">
        <f t="shared" ca="1" si="3"/>
        <v>Complete</v>
      </c>
      <c r="D54" s="119" t="str">
        <f>IF(H54=1,"Click here to answer question (D)","")</f>
        <v/>
      </c>
      <c r="E54" s="91" t="s">
        <v>2521</v>
      </c>
      <c r="F54" s="118">
        <f t="shared" si="7"/>
        <v>1</v>
      </c>
      <c r="G54" s="88">
        <f t="shared" si="5"/>
        <v>0</v>
      </c>
      <c r="H54" s="89">
        <f t="shared" si="6"/>
        <v>0</v>
      </c>
      <c r="I54" s="210" t="str">
        <f ca="1">OFFSET(L!$C$1,MATCH("Checker"&amp;"Comp",L!$A:$A,0)-1,SL,,)</f>
        <v>Complete</v>
      </c>
      <c r="J54" s="22" t="str">
        <f ca="1">OFFSET(L!$C$1,MATCH("Checker"&amp;ADDRESS(ROW(),COLUMN(),4),L!$A:$A,0)-1,SL,,)</f>
        <v>Answer if you require your direct suppliers to source from smelters validated as DRC conflict-free using the Conflict-Free Sourcing Inititiave compliant smelter list on Declaration tab cell D75</v>
      </c>
    </row>
    <row r="55" spans="1:12" ht="39">
      <c r="A55" s="109" t="str">
        <f ca="1">Declaration!B77</f>
        <v>E. Have you implemented due diligence measures for conflict-free sourcing? (*)</v>
      </c>
      <c r="B55" s="109" t="str">
        <f>Declaration!D77</f>
        <v>Yes</v>
      </c>
      <c r="C55" s="109" t="str">
        <f t="shared" ca="1" si="3"/>
        <v>Complete</v>
      </c>
      <c r="D55" s="119" t="str">
        <f>IF(H55=1,"Click here to answer question (E)","")</f>
        <v/>
      </c>
      <c r="E55" s="91" t="s">
        <v>2521</v>
      </c>
      <c r="F55" s="118">
        <f t="shared" si="7"/>
        <v>1</v>
      </c>
      <c r="G55" s="88">
        <f t="shared" si="5"/>
        <v>0</v>
      </c>
      <c r="H55" s="89">
        <f t="shared" si="6"/>
        <v>0</v>
      </c>
      <c r="I55" s="210" t="str">
        <f ca="1">OFFSET(L!$C$1,MATCH("Checker"&amp;"Comp",L!$A:$A,0)-1,SL,,)</f>
        <v>Complete</v>
      </c>
      <c r="J55" s="22" t="str">
        <f ca="1">OFFSET(L!$C$1,MATCH("Checker"&amp;ADDRESS(ROW(),COLUMN(),4),L!$A:$A,0)-1,SL,,)</f>
        <v>Answer if you have implemented conflict-free minerals sourcing due diligence measures on Declaration tab cell D77</v>
      </c>
    </row>
    <row r="56" spans="1:12" ht="63.75">
      <c r="A56" s="109" t="str">
        <f ca="1">Declaration!B79</f>
        <v>F. Do you collect conflict minerals due diligence information from your suppliers which is in conformance with the IPC-1755 Conflict Minerals Data Exchange standard [e.g., the CFSI Conflict Minerals Reporting Template]? (*)</v>
      </c>
      <c r="B56" s="109" t="str">
        <f>Declaration!D79</f>
        <v>Yes</v>
      </c>
      <c r="C56" s="109" t="str">
        <f t="shared" ca="1" si="3"/>
        <v>Complete</v>
      </c>
      <c r="D56" s="119" t="str">
        <f>IF(H56=1,"Click here to answer question (F)","")</f>
        <v/>
      </c>
      <c r="E56" s="91" t="s">
        <v>2521</v>
      </c>
      <c r="F56" s="118">
        <f t="shared" si="7"/>
        <v>1</v>
      </c>
      <c r="G56" s="88">
        <f t="shared" si="5"/>
        <v>0</v>
      </c>
      <c r="H56" s="89">
        <f t="shared" si="6"/>
        <v>0</v>
      </c>
      <c r="I56" s="210" t="str">
        <f ca="1">OFFSET(L!$C$1,MATCH("Checker"&amp;"Comp",L!$A:$A,0)-1,SL,,)</f>
        <v>Complete</v>
      </c>
      <c r="J56" s="22" t="str">
        <f ca="1">OFFSET(L!$C$1,MATCH("Checker"&amp;ADDRESS(ROW(),COLUMN(),4),L!$A:$A,0)-1,SL,,)</f>
        <v>Answer if you request your suppliers to fill out this Conflict Minerals Reporting Template on Declaration tab cell D79</v>
      </c>
    </row>
    <row r="57" spans="1:12" ht="39">
      <c r="A57" s="109" t="str">
        <f ca="1">Declaration!B81</f>
        <v>G. Do you request smelter names from your suppliers? (*)</v>
      </c>
      <c r="B57" s="109" t="str">
        <f>Declaration!D81</f>
        <v>Yes</v>
      </c>
      <c r="C57" s="109" t="str">
        <f t="shared" ca="1" si="3"/>
        <v>Complete</v>
      </c>
      <c r="D57" s="119" t="str">
        <f>IF(H57=1,"Click here to answer question (G)","")</f>
        <v/>
      </c>
      <c r="E57" s="91" t="s">
        <v>2521</v>
      </c>
      <c r="F57" s="118">
        <f t="shared" si="7"/>
        <v>1</v>
      </c>
      <c r="G57" s="88">
        <f t="shared" si="5"/>
        <v>0</v>
      </c>
      <c r="H57" s="89">
        <f t="shared" si="6"/>
        <v>0</v>
      </c>
      <c r="I57" s="210" t="str">
        <f ca="1">OFFSET(L!$C$1,MATCH("Checker"&amp;"Comp",L!$A:$A,0)-1,SL,,)</f>
        <v>Complete</v>
      </c>
      <c r="J57" s="22" t="str">
        <f ca="1">OFFSET(L!$C$1,MATCH("Checker"&amp;ADDRESS(ROW(),COLUMN(),4),L!$A:$A,0)-1,SL,,)</f>
        <v>Answer if you request smelter names from your suppliers on the declaration tab cell D81</v>
      </c>
    </row>
    <row r="58" spans="1:12" ht="39">
      <c r="A58" s="109" t="str">
        <f ca="1">Declaration!B83</f>
        <v>H. Do you review due diligence information received from your suppliers against your company’s expectations? (*)</v>
      </c>
      <c r="B58" s="109" t="str">
        <f>Declaration!D83</f>
        <v>Yes</v>
      </c>
      <c r="C58" s="109" t="str">
        <f t="shared" ca="1" si="3"/>
        <v>Complete</v>
      </c>
      <c r="D58" s="119" t="str">
        <f>IF(H58=1,"Click here to answer question (H)","")</f>
        <v/>
      </c>
      <c r="E58" s="91" t="s">
        <v>2521</v>
      </c>
      <c r="F58" s="118">
        <f t="shared" si="7"/>
        <v>1</v>
      </c>
      <c r="G58" s="88">
        <f t="shared" si="5"/>
        <v>0</v>
      </c>
      <c r="H58" s="89">
        <f t="shared" si="6"/>
        <v>0</v>
      </c>
      <c r="I58" s="210"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09" t="str">
        <f ca="1">Declaration!B85</f>
        <v>I. Does your review process include corrective action management? (*)</v>
      </c>
      <c r="B59" s="109" t="str">
        <f>Declaration!D85</f>
        <v>Yes</v>
      </c>
      <c r="C59" s="109" t="str">
        <f t="shared" ca="1" si="3"/>
        <v>Complete</v>
      </c>
      <c r="D59" s="119" t="str">
        <f>IF(H59=1,"Click here to answer question (I)","")</f>
        <v/>
      </c>
      <c r="E59" s="91" t="s">
        <v>2521</v>
      </c>
      <c r="F59" s="118">
        <f t="shared" si="7"/>
        <v>1</v>
      </c>
      <c r="G59" s="88">
        <f t="shared" si="5"/>
        <v>0</v>
      </c>
      <c r="H59" s="89">
        <f t="shared" si="6"/>
        <v>0</v>
      </c>
      <c r="I59" s="210" t="str">
        <f ca="1">OFFSET(L!$C$1,MATCH("Checker"&amp;"Comp",L!$A:$A,0)-1,SL,,)</f>
        <v>Complete</v>
      </c>
      <c r="J59" s="22" t="str">
        <f ca="1">OFFSET(L!$C$1,MATCH("Checker"&amp;ADDRESS(ROW(),COLUMN(),4),L!$A:$A,0)-1,SL,,)</f>
        <v>Answer if your verification process includes corrective action management on Declaration tab cell D85</v>
      </c>
    </row>
    <row r="60" spans="1:12" ht="39">
      <c r="A60" s="109" t="str">
        <f ca="1">Declaration!B87</f>
        <v>J. Are you subject to the SEC Conflict Minerals rule? (*)</v>
      </c>
      <c r="B60" s="109" t="str">
        <f>Declaration!D87</f>
        <v>No</v>
      </c>
      <c r="C60" s="109" t="str">
        <f t="shared" ca="1" si="3"/>
        <v>Complete</v>
      </c>
      <c r="D60" s="119" t="str">
        <f>IF(H60=1,"Click here to answer question (J)","")</f>
        <v/>
      </c>
      <c r="E60" s="91" t="s">
        <v>2521</v>
      </c>
      <c r="F60" s="118">
        <f t="shared" si="7"/>
        <v>1</v>
      </c>
      <c r="G60" s="88">
        <f t="shared" si="5"/>
        <v>0</v>
      </c>
      <c r="H60" s="89">
        <f t="shared" si="6"/>
        <v>0</v>
      </c>
      <c r="I60" s="210" t="str">
        <f ca="1">OFFSET(L!$C$1,MATCH("Checker"&amp;"Comp",L!$A:$A,0)-1,SL,,)</f>
        <v>Complete</v>
      </c>
      <c r="J60" s="22" t="str">
        <f ca="1">OFFSET(L!$C$1,MATCH("Checker"&amp;ADDRESS(ROW(),COLUMN(),4),L!$A:$A,0)-1,SL,,)</f>
        <v>Answer if you are subject to the SEC Disclosure requirement on Declaration tab cell D87</v>
      </c>
    </row>
    <row r="61" spans="1:12" ht="39">
      <c r="A61" s="110" t="s">
        <v>2459</v>
      </c>
      <c r="B61" s="109" t="str">
        <f>IF(G61=1,"No products or item numbers listed","One or more product / item numbers have been provided")</f>
        <v>No products or item numbers listed</v>
      </c>
      <c r="C61" s="109" t="str">
        <f t="shared" ca="1" si="3"/>
        <v>Complete</v>
      </c>
      <c r="D61" s="119" t="str">
        <f>IF(H61=1,"Click here to enter detail on Product List tab","")</f>
        <v/>
      </c>
      <c r="E61" s="91" t="s">
        <v>2521</v>
      </c>
      <c r="F61" s="118">
        <f>IF(B5=Declaration!Q9,1,0)</f>
        <v>0</v>
      </c>
      <c r="G61" s="88">
        <f>IF('Product List'!B6="",1,0)</f>
        <v>1</v>
      </c>
      <c r="H61" s="89">
        <f t="shared" si="6"/>
        <v>0</v>
      </c>
      <c r="I61" s="210"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218" t="s">
        <v>3520</v>
      </c>
      <c r="B62" s="109"/>
      <c r="C62" s="219" t="str">
        <f ca="1">IF(OR(AND(Declaration!D26&lt;&gt;"Yes",Declaration!D26&lt;&gt;"No"),AND(Declaration!D32&lt;&gt;"Yes",Declaration!D32&lt;&gt;"No")),L62,IF(K62=0,"Not Required",IF(AND(OR(B15="Yes",B20="Yes"),(COUNTIF(SmelterIdetifiedForMetal,"Tantalum")&lt;1)),J62,IF((SUMPRODUCT(COUNTIF(OFFSET('Smelter Reference List'!$J$4,MATCH("Tantalum",'Smelter Reference List'!$A:$A,0)-4,0,COUNTIF('Smelter Reference List'!$A:$A,"Tantalum"),1),'Smelter List'!Y$5:Y$1287))&gt;0),I62,J62))))</f>
        <v>Complete</v>
      </c>
      <c r="D62" s="119" t="str">
        <f ca="1">IF(H62=0,"","Click here to provide smelter information")</f>
        <v/>
      </c>
      <c r="E62" s="91" t="s">
        <v>2521</v>
      </c>
      <c r="F62" s="118">
        <f>F$50</f>
        <v>1</v>
      </c>
      <c r="G62" s="88" t="e">
        <f>IF(COUNTIF('Smelter List'!#REF!,"")&lt;10,0,1)</f>
        <v>#REF!</v>
      </c>
      <c r="H62" s="89">
        <f ca="1">IF(AND(OR(Declaration!D26="Yes",Declaration!D32="Yes"),(COUNTIF(SmelterIdetifiedForMetal,"Tantalum")&lt;1)),(1*K62),(0*K62))</f>
        <v>0</v>
      </c>
      <c r="I62" s="210" t="str">
        <f ca="1">OFFSET(L!$C$1,MATCH("Checker"&amp;"Comp",L!$A:$A,0)-1,SL,,)</f>
        <v>Complete</v>
      </c>
      <c r="J62" s="22" t="str">
        <f ca="1">OFFSET(L!$C$1,MATCH("Checker"&amp;ADDRESS(ROW(),COLUMN(),4),L!$A:$A,0)-1,SL,,)</f>
        <v>Provide list of tantalum smelters contributing material to supply chain on Smelter List tab</v>
      </c>
      <c r="K62" s="217">
        <f>IF(AND(Declaration!D26="No",Declaration!D32="No"),0,1)</f>
        <v>1</v>
      </c>
      <c r="L62" s="22" t="str">
        <f ca="1">OFFSET(L!$C$1,MATCH("Checker"&amp;ADDRESS(ROW(),COLUMN(),4),L!$A:$A,0)-1,SL,,)</f>
        <v>Please answer Questions 1 and 2 on Declaration tab</v>
      </c>
    </row>
    <row r="63" spans="1:12" ht="39">
      <c r="A63" s="218" t="s">
        <v>3521</v>
      </c>
      <c r="B63" s="109"/>
      <c r="C63" s="219" t="str">
        <f ca="1">IF(OR(AND(Declaration!D27&lt;&gt;"Yes",Declaration!D27&lt;&gt;"No"),AND(Declaration!D33&lt;&gt;"Yes",Declaration!D33&lt;&gt;"No")),L63,IF(K63=0,"Not Required",IF(AND(OR(B16="Yes",B21="Yes"),(COUNTIF(SmelterIdetifiedForMetal,"Tin")&lt;1)),J63,IF((SUMPRODUCT(COUNTIF(OFFSET('Smelter Reference List'!$J$4,MATCH("Tin",'Smelter Reference List'!$A:$A,0)-4,0,COUNTIF('Smelter Reference List'!$A:$A,"Tin"),1),'Smelter List'!Y$5:Y$1287))&gt;0),I63,J63))))</f>
        <v>Complete</v>
      </c>
      <c r="D63" s="119" t="str">
        <f ca="1">IF(H63=0,"","Click here to provide smelter information")</f>
        <v/>
      </c>
      <c r="E63" s="91" t="s">
        <v>1426</v>
      </c>
      <c r="F63" s="118">
        <f>F$50</f>
        <v>1</v>
      </c>
      <c r="G63" s="88" t="e">
        <f>IF(COUNTIF('Smelter List'!#REF!,"")&lt;10,0,1)</f>
        <v>#REF!</v>
      </c>
      <c r="H63" s="89">
        <f ca="1">IF(AND(OR(Declaration!D27="Yes",Declaration!D33="Yes"),(COUNTIF(SmelterIdetifiedForMetal,"Tin")&lt;1)),(1*K63),(0*K63))</f>
        <v>0</v>
      </c>
      <c r="I63" s="210" t="str">
        <f ca="1">OFFSET(L!$C$1,MATCH("Checker"&amp;"Comp",L!$A:$A,0)-1,SL,,)</f>
        <v>Complete</v>
      </c>
      <c r="J63" s="22" t="str">
        <f ca="1">OFFSET(L!$C$1,MATCH("Checker"&amp;ADDRESS(ROW(),COLUMN(),4),L!$A:$A,0)-1,SL,,)</f>
        <v>Provide list of tin smelters contributing material to supply chain on Smelter List tab</v>
      </c>
      <c r="K63" s="217">
        <f>IF(AND(Declaration!D27="No",Declaration!D33="No"),0,1)</f>
        <v>1</v>
      </c>
      <c r="L63" s="22" t="str">
        <f ca="1">OFFSET(L!$C$1,MATCH("Checker"&amp;ADDRESS(ROW(),COLUMN(),4),L!$A:$A,0)-1,SL,,)</f>
        <v>Please answer Questions 1 and 2 on Declaration tab</v>
      </c>
    </row>
    <row r="64" spans="1:12" ht="39">
      <c r="A64" s="218" t="s">
        <v>3522</v>
      </c>
      <c r="B64" s="109"/>
      <c r="C64" s="219" t="str">
        <f ca="1">IF(OR(AND(Declaration!D28&lt;&gt;"Yes",Declaration!D28&lt;&gt;"No"),AND(Declaration!D34&lt;&gt;"Yes",Declaration!D34&lt;&gt;"No")),L64,IF(K64=0,"Not Required",IF(AND(OR(B17="Yes",B22="Yes"),(COUNTIF(SmelterIdetifiedForMetal,"Gold")&lt;1)),J64,IF((SUMPRODUCT(COUNTIF(OFFSET('Smelter Reference List'!$J$4,MATCH("Gold",'Smelter Reference List'!$A:$A,0)-4,0,COUNTIF('Smelter Reference List'!$A:$A,"Gold"),1),'Smelter List'!Y$5:Y$1287))&gt;0),I64,J64))))</f>
        <v>Complete</v>
      </c>
      <c r="D64" s="119" t="str">
        <f ca="1">IF(H64=0,"","Click here to provide smelter information")</f>
        <v/>
      </c>
      <c r="E64" s="91" t="s">
        <v>1426</v>
      </c>
      <c r="F64" s="118">
        <f>F$50</f>
        <v>1</v>
      </c>
      <c r="G64" s="88" t="e">
        <f>IF(COUNTIF('Smelter List'!#REF!,"")&lt;10,0,1)</f>
        <v>#REF!</v>
      </c>
      <c r="H64" s="89">
        <f ca="1">IF(AND(OR(Declaration!D28="Yes",Declaration!D34="Yes"),(COUNTIF(SmelterIdetifiedForMetal,"Gold")&lt;1)),(1*K64),(0*K64))</f>
        <v>0</v>
      </c>
      <c r="I64" s="210" t="str">
        <f ca="1">OFFSET(L!$C$1,MATCH("Checker"&amp;"Comp",L!$A:$A,0)-1,SL,,)</f>
        <v>Complete</v>
      </c>
      <c r="J64" s="22" t="str">
        <f ca="1">OFFSET(L!$C$1,MATCH("Checker"&amp;ADDRESS(ROW(),COLUMN(),4),L!$A:$A,0)-1,SL,,)</f>
        <v>Provide list of gold smelters contributing material to supply chain on Smelter List tab</v>
      </c>
      <c r="K64" s="217">
        <f>IF(AND(Declaration!D28="No",Declaration!D34="No"),0,1)</f>
        <v>1</v>
      </c>
      <c r="L64" s="22" t="str">
        <f ca="1">OFFSET(L!$C$1,MATCH("Checker"&amp;ADDRESS(ROW(),COLUMN(),4),L!$A:$A,0)-1,SL,,)</f>
        <v>Please answer Questions 1 and 2 on Declaration tab</v>
      </c>
    </row>
    <row r="65" spans="1:12" ht="39">
      <c r="A65" s="218" t="s">
        <v>3523</v>
      </c>
      <c r="B65" s="109"/>
      <c r="C65" s="219" t="str">
        <f ca="1">IF(OR(AND(Declaration!D29&lt;&gt;"Yes",Declaration!D29&lt;&gt;"No"),AND(Declaration!D35&lt;&gt;"Yes",Declaration!D35&lt;&gt;"No")),L65,IF(K65=0,"Not Required",IF(AND(OR(B18="Yes",B23="Yes"),(COUNTIF(SmelterIdetifiedForMetal,"Tungsten")&lt;1)),J65,IF((SUMPRODUCT(COUNTIF(OFFSET('Smelter Reference List'!$J$4,MATCH("Tungsten",'Smelter Reference List'!$A:$A,0)-4,0,COUNTIF('Smelter Reference List'!$A:$A,"Tungsten"),1),'Smelter List'!Y$5:Y$1287))&gt;0),I65,J65))))</f>
        <v>Not Required</v>
      </c>
      <c r="D65" s="119" t="str">
        <f ca="1">IF(H65=0,"","Click here to provide smelter information")</f>
        <v/>
      </c>
      <c r="E65" s="91" t="s">
        <v>1426</v>
      </c>
      <c r="F65" s="118">
        <f>F$50</f>
        <v>1</v>
      </c>
      <c r="G65" s="88" t="e">
        <f>IF(COUNTIF('Smelter List'!#REF!,"")&lt;10,0,1)</f>
        <v>#REF!</v>
      </c>
      <c r="H65" s="89">
        <f ca="1">IF(AND(OR(Declaration!D29="Yes",Declaration!D35="Yes"),(COUNTIF(SmelterIdetifiedForMetal,"Tungsten")&lt;1)),(1*K65),(0*K65))</f>
        <v>0</v>
      </c>
      <c r="I65" s="210" t="str">
        <f ca="1">OFFSET(L!$C$1,MATCH("Checker"&amp;"Comp",L!$A:$A,0)-1,SL,,)</f>
        <v>Complete</v>
      </c>
      <c r="J65" s="22" t="str">
        <f ca="1">OFFSET(L!$C$1,MATCH("Checker"&amp;ADDRESS(ROW(),COLUMN(),4),L!$A:$A,0)-1,SL,,)</f>
        <v>Provide list of tungsten smelters contributing material to supply chain on Smelter List tab</v>
      </c>
      <c r="K65" s="217">
        <f>IF(AND(Declaration!D29="No",Declaration!D35="No"),0,1)</f>
        <v>0</v>
      </c>
      <c r="L65" s="22" t="str">
        <f ca="1">OFFSET(L!$C$1,MATCH("Checker"&amp;ADDRESS(ROW(),COLUMN(),4),L!$A:$A,0)-1,SL,,)</f>
        <v>Please answer Questions 1 and 2 on Declaration tab</v>
      </c>
    </row>
    <row r="66" spans="1:12" ht="25.5">
      <c r="A66" s="244" t="s">
        <v>4639</v>
      </c>
      <c r="B66" s="109"/>
      <c r="C66" s="244" t="str">
        <f ca="1">IF(F66=0,J66,IF(G66=0,I66,L66))</f>
        <v>N/A</v>
      </c>
      <c r="D66" s="119"/>
      <c r="E66" s="91"/>
      <c r="F66" s="118">
        <f ca="1">IF(COUNTIF('Smelter List'!$C:$C,"Smelter Not Listed")&gt;0,1,0)</f>
        <v>0</v>
      </c>
      <c r="G66" s="88">
        <f ca="1">SUM('Smelter List'!U5:U1287)</f>
        <v>0</v>
      </c>
      <c r="H66" s="89">
        <f ca="1">F66*G66</f>
        <v>0</v>
      </c>
      <c r="I66" s="210" t="str">
        <f ca="1">OFFSET(L!$C$1,MATCH("Checker"&amp;"Comp",L!$A:$A,0)-1,SL,,)</f>
        <v>Complete</v>
      </c>
      <c r="J66" s="22" t="s">
        <v>4640</v>
      </c>
      <c r="K66" s="217"/>
      <c r="L66" s="22" t="s">
        <v>4641</v>
      </c>
    </row>
    <row r="67" spans="1:12">
      <c r="H67" s="22">
        <f ca="1">SUM(H4:H66)</f>
        <v>0</v>
      </c>
    </row>
    <row r="68" spans="1:12">
      <c r="A68" s="24"/>
    </row>
    <row r="69" spans="1:12">
      <c r="A69" s="24"/>
    </row>
    <row r="70" spans="1:12">
      <c r="A70" s="24"/>
    </row>
  </sheetData>
  <sheetProtection password="E985" sheet="1" formatColumns="0" formatRows="0"/>
  <mergeCells count="1">
    <mergeCell ref="A1:C1"/>
  </mergeCells>
  <phoneticPr fontId="31"/>
  <conditionalFormatting sqref="B62">
    <cfRule type="expression" dxfId="26" priority="331" stopIfTrue="1">
      <formula>IF(F62=0,TRUE)</formula>
    </cfRule>
  </conditionalFormatting>
  <conditionalFormatting sqref="A5:A13">
    <cfRule type="expression" dxfId="25" priority="39" stopIfTrue="1">
      <formula>$F5=0</formula>
    </cfRule>
    <cfRule type="expression" dxfId="24" priority="40" stopIfTrue="1">
      <formula>AND($F5=1,$G5=0)</formula>
    </cfRule>
    <cfRule type="expression" dxfId="23" priority="41" stopIfTrue="1">
      <formula>AND($F5&lt;&gt;0,$G5&lt;&gt;0)</formula>
    </cfRule>
  </conditionalFormatting>
  <conditionalFormatting sqref="B61">
    <cfRule type="expression" dxfId="22" priority="37" stopIfTrue="1">
      <formula>$F61=0</formula>
    </cfRule>
  </conditionalFormatting>
  <conditionalFormatting sqref="D52">
    <cfRule type="expression" dxfId="21" priority="348" stopIfTrue="1">
      <formula>$H$52=0</formula>
    </cfRule>
  </conditionalFormatting>
  <conditionalFormatting sqref="B63">
    <cfRule type="expression" dxfId="20" priority="29" stopIfTrue="1">
      <formula>IF(F63=0,TRUE)</formula>
    </cfRule>
  </conditionalFormatting>
  <conditionalFormatting sqref="B64">
    <cfRule type="expression" dxfId="19" priority="25" stopIfTrue="1">
      <formula>IF(F64=0,TRUE)</formula>
    </cfRule>
  </conditionalFormatting>
  <conditionalFormatting sqref="B65:B66">
    <cfRule type="expression" dxfId="18" priority="21" stopIfTrue="1">
      <formula>IF(F65=0,TRUE)</formula>
    </cfRule>
  </conditionalFormatting>
  <conditionalFormatting sqref="C62:C66">
    <cfRule type="expression" dxfId="17" priority="3" stopIfTrue="1">
      <formula>C62="Not Required"</formula>
    </cfRule>
    <cfRule type="expression" dxfId="16" priority="11" stopIfTrue="1">
      <formula>OR(C62="Complete",C62="填写", C62="記入",C62="완료",C62="Complétez",C62="Concluído",C62="Vollständig",C62="Completare",C62="Doldurun")</formula>
    </cfRule>
  </conditionalFormatting>
  <conditionalFormatting sqref="A62:A66">
    <cfRule type="expression" dxfId="15" priority="4" stopIfTrue="1">
      <formula>C62="Not Required"</formula>
    </cfRule>
    <cfRule type="expression" dxfId="14" priority="12" stopIfTrue="1">
      <formula>OR(C62="Complete",C62="填写", C62="記入",C62="완료",C62="Complétez",C62="Concluído",C62="Vollständig",C62="Completare",C62="Doldurun")</formula>
    </cfRule>
  </conditionalFormatting>
  <conditionalFormatting sqref="A4 A15:A18 A50:A61 C15:C18 A20:A23 C25:C28 A35:A38 A40:A43 C50:C61 C20:C23 A30:A33 C35:C38 C40:C43 A25:A28 C30:C33 C45:C48 A45:A48 C4:C13">
    <cfRule type="expression" dxfId="13" priority="337" stopIfTrue="1">
      <formula>$F4=0</formula>
    </cfRule>
    <cfRule type="expression" dxfId="12" priority="338" stopIfTrue="1">
      <formula>$H4=0</formula>
    </cfRule>
    <cfRule type="expression" dxfId="11" priority="339" stopIfTrue="1">
      <formula>$H4=1</formula>
    </cfRule>
  </conditionalFormatting>
  <conditionalFormatting sqref="C66 A66">
    <cfRule type="expression" dxfId="10" priority="1" stopIfTrue="1">
      <formula>IF(AND($F$66=1,$G$66=1),TRUE,FALSE)</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7" location="Declaration!B81" display="Declaration!B81"/>
    <hyperlink ref="D58" location="Declaration!B83" display="Declaration!B83"/>
    <hyperlink ref="D59" location="Declaration!B85" display="Declaration!B85"/>
    <hyperlink ref="D60" location="Declaration!B87" display="Declaration!B87"/>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I1002"/>
  <sheetViews>
    <sheetView showGridLines="0" zoomScale="70" zoomScaleNormal="70" workbookViewId="0">
      <pane xSplit="2" ySplit="5" topLeftCell="C6" activePane="bottomRight" state="frozen"/>
      <selection pane="topRight" activeCell="C1" sqref="C1"/>
      <selection pane="bottomLeft" activeCell="A6" sqref="A6"/>
      <selection pane="bottomRight" activeCell="B6" sqref="B6"/>
    </sheetView>
  </sheetViews>
  <sheetFormatPr defaultColWidth="8.75" defaultRowHeight="12.75"/>
  <cols>
    <col min="1" max="1" width="3.125" style="128" customWidth="1"/>
    <col min="2" max="2" width="39.875" style="129" customWidth="1"/>
    <col min="3" max="3" width="39.875" style="128" customWidth="1"/>
    <col min="4" max="4" width="58.75" style="128" customWidth="1"/>
    <col min="5" max="5" width="1.625" style="128" customWidth="1"/>
    <col min="6" max="35" width="9" customWidth="1"/>
    <col min="36" max="16384" width="8.75" style="26"/>
  </cols>
  <sheetData>
    <row r="1" spans="1:35" ht="34.9" customHeight="1" thickTop="1">
      <c r="A1" s="397" t="str">
        <f ca="1">OFFSET(L!$C$1,MATCH("Product List"&amp;ADDRESS(ROW(),COLUMN(),4),L!$A:$A,0)-1,SL,,)</f>
        <v>Completion required only if reporting level "Product (or List of Products)" selected on the 'Declaration' worksheet.</v>
      </c>
      <c r="B1" s="398"/>
      <c r="C1" s="398"/>
      <c r="D1" s="398"/>
      <c r="E1" s="157"/>
    </row>
    <row r="2" spans="1:35">
      <c r="A2" s="29"/>
      <c r="B2" s="162"/>
      <c r="C2" s="162"/>
      <c r="D2"/>
      <c r="E2" s="30"/>
    </row>
    <row r="3" spans="1:35">
      <c r="A3" s="29"/>
      <c r="B3" s="162"/>
      <c r="C3" s="162"/>
      <c r="D3" s="162"/>
      <c r="E3" s="30"/>
    </row>
    <row r="4" spans="1:35" ht="15.75" customHeight="1">
      <c r="A4" s="29"/>
      <c r="B4" s="396" t="s">
        <v>1750</v>
      </c>
      <c r="C4" s="396"/>
      <c r="D4" s="396"/>
      <c r="E4" s="30"/>
    </row>
    <row r="5" spans="1:35" ht="15.75">
      <c r="A5" s="177"/>
      <c r="B5" s="180" t="str">
        <f ca="1">OFFSET(L!$C$1,MATCH("Product List"&amp;ADDRESS(ROW(),COLUMN(),4),L!$A:$A,0)-1,SL,,)</f>
        <v>Manufacturer’s Product Number (*)</v>
      </c>
      <c r="C5" s="180" t="str">
        <f ca="1">OFFSET(L!$C$1,MATCH("Product List"&amp;ADDRESS(ROW(),COLUMN(),4),L!$A:$A,0)-1,SL,,)</f>
        <v>Manufacturer’s Product Name</v>
      </c>
      <c r="D5" s="92" t="str">
        <f ca="1">OFFSET(L!$C$1,MATCH("Product List"&amp;ADDRESS(ROW(),COLUMN(),4),L!$A:$A,0)-1,SL,,)</f>
        <v>Comments</v>
      </c>
      <c r="E5" s="30"/>
    </row>
    <row r="6" spans="1:35" s="33" customFormat="1" ht="15.75">
      <c r="A6" s="174"/>
      <c r="B6" s="163"/>
      <c r="C6" s="123"/>
      <c r="D6" s="123"/>
      <c r="E6" s="32"/>
      <c r="F6"/>
      <c r="G6"/>
      <c r="H6"/>
      <c r="I6"/>
      <c r="J6"/>
      <c r="K6"/>
      <c r="L6"/>
      <c r="M6"/>
      <c r="N6"/>
      <c r="O6"/>
      <c r="P6"/>
      <c r="Q6"/>
      <c r="R6"/>
      <c r="S6"/>
      <c r="T6"/>
      <c r="U6"/>
      <c r="V6"/>
      <c r="W6"/>
      <c r="X6"/>
      <c r="Y6"/>
      <c r="Z6"/>
      <c r="AA6"/>
      <c r="AB6"/>
      <c r="AC6"/>
      <c r="AD6"/>
      <c r="AE6"/>
      <c r="AF6"/>
      <c r="AG6"/>
      <c r="AH6"/>
      <c r="AI6"/>
    </row>
    <row r="7" spans="1:35" s="33" customFormat="1" ht="15.75">
      <c r="A7" s="175"/>
      <c r="B7" s="163"/>
      <c r="C7" s="123"/>
      <c r="D7" s="123"/>
      <c r="E7" s="32"/>
      <c r="F7"/>
      <c r="G7"/>
      <c r="H7"/>
      <c r="I7"/>
      <c r="J7"/>
      <c r="K7"/>
      <c r="L7"/>
      <c r="M7"/>
      <c r="N7"/>
      <c r="O7"/>
      <c r="P7"/>
      <c r="Q7"/>
      <c r="R7"/>
      <c r="S7"/>
      <c r="T7"/>
      <c r="U7"/>
      <c r="V7"/>
      <c r="W7"/>
      <c r="X7"/>
      <c r="Y7"/>
      <c r="Z7"/>
      <c r="AA7"/>
      <c r="AB7"/>
      <c r="AC7"/>
      <c r="AD7"/>
      <c r="AE7"/>
      <c r="AF7"/>
      <c r="AG7"/>
      <c r="AH7"/>
      <c r="AI7"/>
    </row>
    <row r="8" spans="1:35" s="33" customFormat="1" ht="15.75">
      <c r="A8" s="175"/>
      <c r="B8" s="163"/>
      <c r="C8" s="123"/>
      <c r="D8" s="123"/>
      <c r="E8" s="32"/>
      <c r="F8"/>
      <c r="G8"/>
      <c r="H8"/>
      <c r="I8"/>
      <c r="J8"/>
      <c r="K8"/>
      <c r="L8"/>
      <c r="M8"/>
      <c r="N8"/>
      <c r="O8"/>
      <c r="P8"/>
      <c r="Q8"/>
      <c r="R8"/>
      <c r="S8"/>
      <c r="T8"/>
      <c r="U8"/>
      <c r="V8"/>
      <c r="W8"/>
      <c r="X8"/>
      <c r="Y8"/>
      <c r="Z8"/>
      <c r="AA8"/>
      <c r="AB8"/>
      <c r="AC8"/>
      <c r="AD8"/>
      <c r="AE8"/>
      <c r="AF8"/>
      <c r="AG8"/>
      <c r="AH8"/>
      <c r="AI8"/>
    </row>
    <row r="9" spans="1:35" s="33" customFormat="1" ht="15.75">
      <c r="A9" s="175"/>
      <c r="B9" s="163"/>
      <c r="C9" s="123"/>
      <c r="D9" s="123"/>
      <c r="E9" s="32"/>
      <c r="F9"/>
      <c r="G9"/>
      <c r="H9"/>
      <c r="I9"/>
      <c r="J9"/>
      <c r="K9"/>
      <c r="L9"/>
      <c r="M9"/>
      <c r="N9"/>
      <c r="O9"/>
      <c r="P9"/>
      <c r="Q9"/>
      <c r="R9"/>
      <c r="S9"/>
      <c r="T9"/>
      <c r="U9"/>
      <c r="V9"/>
      <c r="W9"/>
      <c r="X9"/>
      <c r="Y9"/>
      <c r="Z9"/>
      <c r="AA9"/>
      <c r="AB9"/>
      <c r="AC9"/>
      <c r="AD9"/>
      <c r="AE9"/>
      <c r="AF9"/>
      <c r="AG9"/>
      <c r="AH9"/>
      <c r="AI9"/>
    </row>
    <row r="10" spans="1:35" s="33" customFormat="1" ht="15.75">
      <c r="A10" s="175"/>
      <c r="B10" s="163"/>
      <c r="C10" s="123"/>
      <c r="D10" s="123"/>
      <c r="E10" s="32"/>
      <c r="F10"/>
      <c r="G10"/>
      <c r="H10"/>
      <c r="I10"/>
      <c r="J10"/>
      <c r="K10"/>
      <c r="L10"/>
      <c r="M10"/>
      <c r="N10"/>
      <c r="O10"/>
      <c r="P10"/>
      <c r="Q10"/>
      <c r="R10"/>
      <c r="S10"/>
      <c r="T10"/>
      <c r="U10"/>
      <c r="V10"/>
      <c r="W10"/>
      <c r="X10"/>
      <c r="Y10"/>
      <c r="Z10"/>
      <c r="AA10"/>
      <c r="AB10"/>
      <c r="AC10"/>
      <c r="AD10"/>
      <c r="AE10"/>
      <c r="AF10"/>
      <c r="AG10"/>
      <c r="AH10"/>
      <c r="AI10"/>
    </row>
    <row r="11" spans="1:35" s="33" customFormat="1" ht="15.75">
      <c r="A11" s="175"/>
      <c r="B11" s="163"/>
      <c r="C11" s="123"/>
      <c r="D11" s="123"/>
      <c r="E11" s="32"/>
      <c r="F11"/>
      <c r="G11"/>
      <c r="H11"/>
      <c r="I11"/>
      <c r="J11"/>
      <c r="K11"/>
      <c r="L11"/>
      <c r="M11"/>
      <c r="N11"/>
      <c r="O11"/>
      <c r="P11"/>
      <c r="Q11"/>
      <c r="R11"/>
      <c r="S11"/>
      <c r="T11"/>
      <c r="U11"/>
      <c r="V11"/>
      <c r="W11"/>
      <c r="X11"/>
      <c r="Y11"/>
      <c r="Z11"/>
      <c r="AA11"/>
      <c r="AB11"/>
      <c r="AC11"/>
      <c r="AD11"/>
      <c r="AE11"/>
      <c r="AF11"/>
      <c r="AG11"/>
      <c r="AH11"/>
      <c r="AI11"/>
    </row>
    <row r="12" spans="1:35" s="33" customFormat="1" ht="15.75">
      <c r="A12" s="175"/>
      <c r="B12" s="163"/>
      <c r="C12" s="123"/>
      <c r="D12" s="123"/>
      <c r="E12" s="32"/>
      <c r="F12"/>
      <c r="G12"/>
      <c r="H12"/>
      <c r="I12"/>
      <c r="J12"/>
      <c r="K12"/>
      <c r="L12"/>
      <c r="M12"/>
      <c r="N12"/>
      <c r="O12"/>
      <c r="P12"/>
      <c r="Q12"/>
      <c r="R12"/>
      <c r="S12"/>
      <c r="T12"/>
      <c r="U12"/>
      <c r="V12"/>
      <c r="W12"/>
      <c r="X12"/>
      <c r="Y12"/>
      <c r="Z12"/>
      <c r="AA12"/>
      <c r="AB12"/>
      <c r="AC12"/>
      <c r="AD12"/>
      <c r="AE12"/>
      <c r="AF12"/>
      <c r="AG12"/>
      <c r="AH12"/>
      <c r="AI12"/>
    </row>
    <row r="13" spans="1:35" s="33" customFormat="1" ht="15.75">
      <c r="A13" s="175"/>
      <c r="B13" s="163"/>
      <c r="C13" s="123"/>
      <c r="D13" s="123"/>
      <c r="E13" s="32"/>
      <c r="F13"/>
      <c r="G13"/>
      <c r="H13"/>
      <c r="I13"/>
      <c r="J13"/>
      <c r="K13"/>
      <c r="L13"/>
      <c r="M13"/>
      <c r="N13"/>
      <c r="O13"/>
      <c r="P13"/>
      <c r="Q13"/>
      <c r="R13"/>
      <c r="S13"/>
      <c r="T13"/>
      <c r="U13"/>
      <c r="V13"/>
      <c r="W13"/>
      <c r="X13"/>
      <c r="Y13"/>
      <c r="Z13"/>
      <c r="AA13"/>
      <c r="AB13"/>
      <c r="AC13"/>
      <c r="AD13"/>
      <c r="AE13"/>
      <c r="AF13"/>
      <c r="AG13"/>
      <c r="AH13"/>
      <c r="AI13"/>
    </row>
    <row r="14" spans="1:35" s="33" customFormat="1" ht="15.75">
      <c r="A14" s="175"/>
      <c r="B14" s="163"/>
      <c r="C14" s="123"/>
      <c r="D14" s="123"/>
      <c r="E14" s="32"/>
      <c r="F14"/>
      <c r="G14"/>
      <c r="H14"/>
      <c r="I14"/>
      <c r="J14"/>
      <c r="K14"/>
      <c r="L14"/>
      <c r="M14"/>
      <c r="N14"/>
      <c r="O14"/>
      <c r="P14"/>
      <c r="Q14"/>
      <c r="R14"/>
      <c r="S14"/>
      <c r="T14"/>
      <c r="U14"/>
      <c r="V14"/>
      <c r="W14"/>
      <c r="X14"/>
      <c r="Y14"/>
      <c r="Z14"/>
      <c r="AA14"/>
      <c r="AB14"/>
      <c r="AC14"/>
      <c r="AD14"/>
      <c r="AE14"/>
      <c r="AF14"/>
      <c r="AG14"/>
      <c r="AH14"/>
      <c r="AI14"/>
    </row>
    <row r="15" spans="1:35" s="33" customFormat="1" ht="15.75">
      <c r="A15" s="175"/>
      <c r="B15" s="163"/>
      <c r="C15" s="123"/>
      <c r="D15" s="123"/>
      <c r="E15" s="32"/>
      <c r="F15"/>
      <c r="G15"/>
      <c r="H15"/>
      <c r="I15"/>
      <c r="J15"/>
      <c r="K15"/>
      <c r="L15"/>
      <c r="M15"/>
      <c r="N15"/>
      <c r="O15"/>
      <c r="P15"/>
      <c r="Q15"/>
      <c r="R15"/>
      <c r="S15"/>
      <c r="T15"/>
      <c r="U15"/>
      <c r="V15"/>
      <c r="W15"/>
      <c r="X15"/>
      <c r="Y15"/>
      <c r="Z15"/>
      <c r="AA15"/>
      <c r="AB15"/>
      <c r="AC15"/>
      <c r="AD15"/>
      <c r="AE15"/>
      <c r="AF15"/>
      <c r="AG15"/>
      <c r="AH15"/>
      <c r="AI15"/>
    </row>
    <row r="16" spans="1:35" s="33" customFormat="1" ht="15.75">
      <c r="A16" s="175"/>
      <c r="B16" s="163"/>
      <c r="C16" s="123"/>
      <c r="D16" s="123"/>
      <c r="E16" s="32"/>
      <c r="F16"/>
      <c r="G16"/>
      <c r="H16"/>
      <c r="I16"/>
      <c r="J16"/>
      <c r="K16"/>
      <c r="L16"/>
      <c r="M16"/>
      <c r="N16"/>
      <c r="O16"/>
      <c r="P16"/>
      <c r="Q16"/>
      <c r="R16"/>
      <c r="S16"/>
      <c r="T16"/>
      <c r="U16"/>
      <c r="V16"/>
      <c r="W16"/>
      <c r="X16"/>
      <c r="Y16"/>
      <c r="Z16"/>
      <c r="AA16"/>
      <c r="AB16"/>
      <c r="AC16"/>
      <c r="AD16"/>
      <c r="AE16"/>
      <c r="AF16"/>
      <c r="AG16"/>
      <c r="AH16"/>
      <c r="AI16"/>
    </row>
    <row r="17" spans="1:35" s="33" customFormat="1" ht="15.75">
      <c r="A17" s="175"/>
      <c r="B17" s="163"/>
      <c r="C17" s="123"/>
      <c r="D17" s="123"/>
      <c r="E17" s="32"/>
      <c r="F17"/>
      <c r="G17"/>
      <c r="H17"/>
      <c r="I17"/>
      <c r="J17"/>
      <c r="K17"/>
      <c r="L17"/>
      <c r="M17"/>
      <c r="N17"/>
      <c r="O17"/>
      <c r="P17"/>
      <c r="Q17"/>
      <c r="R17"/>
      <c r="S17"/>
      <c r="T17"/>
      <c r="U17"/>
      <c r="V17"/>
      <c r="W17"/>
      <c r="X17"/>
      <c r="Y17"/>
      <c r="Z17"/>
      <c r="AA17"/>
      <c r="AB17"/>
      <c r="AC17"/>
      <c r="AD17"/>
      <c r="AE17"/>
      <c r="AF17"/>
      <c r="AG17"/>
      <c r="AH17"/>
      <c r="AI17"/>
    </row>
    <row r="18" spans="1:35" s="33" customFormat="1" ht="15.75">
      <c r="A18" s="175"/>
      <c r="B18" s="163"/>
      <c r="C18" s="123"/>
      <c r="D18" s="123"/>
      <c r="E18" s="32"/>
      <c r="F18"/>
      <c r="G18"/>
      <c r="H18"/>
      <c r="I18"/>
      <c r="J18"/>
      <c r="K18"/>
      <c r="L18"/>
      <c r="M18"/>
      <c r="N18"/>
      <c r="O18"/>
      <c r="P18"/>
      <c r="Q18"/>
      <c r="R18"/>
      <c r="S18"/>
      <c r="T18"/>
      <c r="U18"/>
      <c r="V18"/>
      <c r="W18"/>
      <c r="X18"/>
      <c r="Y18"/>
      <c r="Z18"/>
      <c r="AA18"/>
      <c r="AB18"/>
      <c r="AC18"/>
      <c r="AD18"/>
      <c r="AE18"/>
      <c r="AF18"/>
      <c r="AG18"/>
      <c r="AH18"/>
      <c r="AI18"/>
    </row>
    <row r="19" spans="1:35" s="33" customFormat="1" ht="15.75">
      <c r="A19" s="175"/>
      <c r="B19" s="163"/>
      <c r="C19" s="123"/>
      <c r="D19" s="123"/>
      <c r="E19" s="32"/>
      <c r="F19"/>
      <c r="G19"/>
      <c r="H19"/>
      <c r="I19"/>
      <c r="J19"/>
      <c r="K19"/>
      <c r="L19"/>
      <c r="M19"/>
      <c r="N19"/>
      <c r="O19"/>
      <c r="P19"/>
      <c r="Q19"/>
      <c r="R19"/>
      <c r="S19"/>
      <c r="T19"/>
      <c r="U19"/>
      <c r="V19"/>
      <c r="W19"/>
      <c r="X19"/>
      <c r="Y19"/>
      <c r="Z19"/>
      <c r="AA19"/>
      <c r="AB19"/>
      <c r="AC19"/>
      <c r="AD19"/>
      <c r="AE19"/>
      <c r="AF19"/>
      <c r="AG19"/>
      <c r="AH19"/>
      <c r="AI19"/>
    </row>
    <row r="20" spans="1:35" s="33" customFormat="1" ht="15.75">
      <c r="A20" s="175"/>
      <c r="B20" s="163"/>
      <c r="C20" s="123"/>
      <c r="D20" s="123"/>
      <c r="E20" s="32"/>
      <c r="F20"/>
      <c r="G20"/>
      <c r="H20"/>
      <c r="I20"/>
      <c r="J20"/>
      <c r="K20"/>
      <c r="L20"/>
      <c r="M20"/>
      <c r="N20"/>
      <c r="O20"/>
      <c r="P20"/>
      <c r="Q20"/>
      <c r="R20"/>
      <c r="S20"/>
      <c r="T20"/>
      <c r="U20"/>
      <c r="V20"/>
      <c r="W20"/>
      <c r="X20"/>
      <c r="Y20"/>
      <c r="Z20"/>
      <c r="AA20"/>
      <c r="AB20"/>
      <c r="AC20"/>
      <c r="AD20"/>
      <c r="AE20"/>
      <c r="AF20"/>
      <c r="AG20"/>
      <c r="AH20"/>
      <c r="AI20"/>
    </row>
    <row r="21" spans="1:35" s="33" customFormat="1" ht="15.75">
      <c r="A21" s="175"/>
      <c r="B21" s="163"/>
      <c r="C21" s="123"/>
      <c r="D21" s="123"/>
      <c r="E21" s="32"/>
      <c r="F21"/>
      <c r="G21"/>
      <c r="H21"/>
      <c r="I21"/>
      <c r="J21"/>
      <c r="K21"/>
      <c r="L21"/>
      <c r="M21"/>
      <c r="N21"/>
      <c r="O21"/>
      <c r="P21"/>
      <c r="Q21"/>
      <c r="R21"/>
      <c r="S21"/>
      <c r="T21"/>
      <c r="U21"/>
      <c r="V21"/>
      <c r="W21"/>
      <c r="X21"/>
      <c r="Y21"/>
      <c r="Z21"/>
      <c r="AA21"/>
      <c r="AB21"/>
      <c r="AC21"/>
      <c r="AD21"/>
      <c r="AE21"/>
      <c r="AF21"/>
      <c r="AG21"/>
      <c r="AH21"/>
      <c r="AI21"/>
    </row>
    <row r="22" spans="1:35" s="33" customFormat="1" ht="15.75">
      <c r="A22" s="175"/>
      <c r="B22" s="163"/>
      <c r="C22" s="123"/>
      <c r="D22" s="123"/>
      <c r="E22" s="32"/>
      <c r="F22"/>
      <c r="G22"/>
      <c r="H22"/>
      <c r="I22"/>
      <c r="J22"/>
      <c r="K22"/>
      <c r="L22"/>
      <c r="M22"/>
      <c r="N22"/>
      <c r="O22"/>
      <c r="P22"/>
      <c r="Q22"/>
      <c r="R22"/>
      <c r="S22"/>
      <c r="T22"/>
      <c r="U22"/>
      <c r="V22"/>
      <c r="W22"/>
      <c r="X22"/>
      <c r="Y22"/>
      <c r="Z22"/>
      <c r="AA22"/>
      <c r="AB22"/>
      <c r="AC22"/>
      <c r="AD22"/>
      <c r="AE22"/>
      <c r="AF22"/>
      <c r="AG22"/>
      <c r="AH22"/>
      <c r="AI22"/>
    </row>
    <row r="23" spans="1:35" s="33" customFormat="1" ht="15.75">
      <c r="A23" s="175"/>
      <c r="B23" s="163"/>
      <c r="C23" s="123"/>
      <c r="D23" s="123"/>
      <c r="E23" s="32"/>
      <c r="F23"/>
      <c r="G23"/>
      <c r="H23"/>
      <c r="I23"/>
      <c r="J23"/>
      <c r="K23"/>
      <c r="L23"/>
      <c r="M23"/>
      <c r="N23"/>
      <c r="O23"/>
      <c r="P23"/>
      <c r="Q23"/>
      <c r="R23"/>
      <c r="S23"/>
      <c r="T23"/>
      <c r="U23"/>
      <c r="V23"/>
      <c r="W23"/>
      <c r="X23"/>
      <c r="Y23"/>
      <c r="Z23"/>
      <c r="AA23"/>
      <c r="AB23"/>
      <c r="AC23"/>
      <c r="AD23"/>
      <c r="AE23"/>
      <c r="AF23"/>
      <c r="AG23"/>
      <c r="AH23"/>
      <c r="AI23"/>
    </row>
    <row r="24" spans="1:35" s="33" customFormat="1" ht="15.75">
      <c r="A24" s="175"/>
      <c r="B24" s="163"/>
      <c r="C24" s="123"/>
      <c r="D24" s="123"/>
      <c r="E24" s="32"/>
      <c r="F24"/>
      <c r="G24"/>
      <c r="H24"/>
      <c r="I24"/>
      <c r="J24"/>
      <c r="K24"/>
      <c r="L24"/>
      <c r="M24"/>
      <c r="N24"/>
      <c r="O24"/>
      <c r="P24"/>
      <c r="Q24"/>
      <c r="R24"/>
      <c r="S24"/>
      <c r="T24"/>
      <c r="U24"/>
      <c r="V24"/>
      <c r="W24"/>
      <c r="X24"/>
      <c r="Y24"/>
      <c r="Z24"/>
      <c r="AA24"/>
      <c r="AB24"/>
      <c r="AC24"/>
      <c r="AD24"/>
      <c r="AE24"/>
      <c r="AF24"/>
      <c r="AG24"/>
      <c r="AH24"/>
      <c r="AI24"/>
    </row>
    <row r="25" spans="1:35" s="33" customFormat="1" ht="15.75">
      <c r="A25" s="175"/>
      <c r="B25" s="163"/>
      <c r="C25" s="123"/>
      <c r="D25" s="123"/>
      <c r="E25" s="32"/>
      <c r="F25"/>
      <c r="G25"/>
      <c r="H25"/>
      <c r="I25"/>
      <c r="J25"/>
      <c r="K25"/>
      <c r="L25"/>
      <c r="M25"/>
      <c r="N25"/>
      <c r="O25"/>
      <c r="P25"/>
      <c r="Q25"/>
      <c r="R25"/>
      <c r="S25"/>
      <c r="T25"/>
      <c r="U25"/>
      <c r="V25"/>
      <c r="W25"/>
      <c r="X25"/>
      <c r="Y25"/>
      <c r="Z25"/>
      <c r="AA25"/>
      <c r="AB25"/>
      <c r="AC25"/>
      <c r="AD25"/>
      <c r="AE25"/>
      <c r="AF25"/>
      <c r="AG25"/>
      <c r="AH25"/>
      <c r="AI25"/>
    </row>
    <row r="26" spans="1:35" s="33" customFormat="1" ht="15.75">
      <c r="A26" s="175"/>
      <c r="B26" s="163"/>
      <c r="C26" s="123"/>
      <c r="D26" s="123"/>
      <c r="E26" s="32"/>
      <c r="F26"/>
      <c r="G26"/>
      <c r="H26"/>
      <c r="I26"/>
      <c r="J26"/>
      <c r="K26"/>
      <c r="L26"/>
      <c r="M26"/>
      <c r="N26"/>
      <c r="O26"/>
      <c r="P26"/>
      <c r="Q26"/>
      <c r="R26"/>
      <c r="S26"/>
      <c r="T26"/>
      <c r="U26"/>
      <c r="V26"/>
      <c r="W26"/>
      <c r="X26"/>
      <c r="Y26"/>
      <c r="Z26"/>
      <c r="AA26"/>
      <c r="AB26"/>
      <c r="AC26"/>
      <c r="AD26"/>
      <c r="AE26"/>
      <c r="AF26"/>
      <c r="AG26"/>
      <c r="AH26"/>
      <c r="AI26"/>
    </row>
    <row r="27" spans="1:35" s="33" customFormat="1" ht="15.75">
      <c r="A27" s="175"/>
      <c r="B27" s="163"/>
      <c r="C27" s="123"/>
      <c r="D27" s="123"/>
      <c r="E27" s="32"/>
      <c r="F27"/>
      <c r="G27"/>
      <c r="H27"/>
      <c r="I27"/>
      <c r="J27"/>
      <c r="K27"/>
      <c r="L27"/>
      <c r="M27"/>
      <c r="N27"/>
      <c r="O27"/>
      <c r="P27"/>
      <c r="Q27"/>
      <c r="R27"/>
      <c r="S27"/>
      <c r="T27"/>
      <c r="U27"/>
      <c r="V27"/>
      <c r="W27"/>
      <c r="X27"/>
      <c r="Y27"/>
      <c r="Z27"/>
      <c r="AA27"/>
      <c r="AB27"/>
      <c r="AC27"/>
      <c r="AD27"/>
      <c r="AE27"/>
      <c r="AF27"/>
      <c r="AG27"/>
      <c r="AH27"/>
      <c r="AI27"/>
    </row>
    <row r="28" spans="1:35" s="33" customFormat="1" ht="15.75">
      <c r="A28" s="175"/>
      <c r="B28" s="163"/>
      <c r="C28" s="123"/>
      <c r="D28" s="123"/>
      <c r="E28" s="32"/>
      <c r="F28"/>
      <c r="G28"/>
      <c r="H28"/>
      <c r="I28"/>
      <c r="J28"/>
      <c r="K28"/>
      <c r="L28"/>
      <c r="M28"/>
      <c r="N28"/>
      <c r="O28"/>
      <c r="P28"/>
      <c r="Q28"/>
      <c r="R28"/>
      <c r="S28"/>
      <c r="T28"/>
      <c r="U28"/>
      <c r="V28"/>
      <c r="W28"/>
      <c r="X28"/>
      <c r="Y28"/>
      <c r="Z28"/>
      <c r="AA28"/>
      <c r="AB28"/>
      <c r="AC28"/>
      <c r="AD28"/>
      <c r="AE28"/>
      <c r="AF28"/>
      <c r="AG28"/>
      <c r="AH28"/>
      <c r="AI28"/>
    </row>
    <row r="29" spans="1:35" s="33" customFormat="1" ht="15.75">
      <c r="A29" s="175"/>
      <c r="B29" s="163"/>
      <c r="C29" s="123"/>
      <c r="D29" s="123"/>
      <c r="E29" s="32"/>
      <c r="F29"/>
      <c r="G29"/>
      <c r="H29"/>
      <c r="I29"/>
      <c r="J29"/>
      <c r="K29"/>
      <c r="L29"/>
      <c r="M29"/>
      <c r="N29"/>
      <c r="O29"/>
      <c r="P29"/>
      <c r="Q29"/>
      <c r="R29"/>
      <c r="S29"/>
      <c r="T29"/>
      <c r="U29"/>
      <c r="V29"/>
      <c r="W29"/>
      <c r="X29"/>
      <c r="Y29"/>
      <c r="Z29"/>
      <c r="AA29"/>
      <c r="AB29"/>
      <c r="AC29"/>
      <c r="AD29"/>
      <c r="AE29"/>
      <c r="AF29"/>
      <c r="AG29"/>
      <c r="AH29"/>
      <c r="AI29"/>
    </row>
    <row r="30" spans="1:35" s="33" customFormat="1" ht="15.75">
      <c r="A30" s="175"/>
      <c r="B30" s="163"/>
      <c r="C30" s="123"/>
      <c r="D30" s="123"/>
      <c r="E30" s="32"/>
      <c r="F30"/>
      <c r="G30"/>
      <c r="H30"/>
      <c r="I30"/>
      <c r="J30"/>
      <c r="K30"/>
      <c r="L30"/>
      <c r="M30"/>
      <c r="N30"/>
      <c r="O30"/>
      <c r="P30"/>
      <c r="Q30"/>
      <c r="R30"/>
      <c r="S30"/>
      <c r="T30"/>
      <c r="U30"/>
      <c r="V30"/>
      <c r="W30"/>
      <c r="X30"/>
      <c r="Y30"/>
      <c r="Z30"/>
      <c r="AA30"/>
      <c r="AB30"/>
      <c r="AC30"/>
      <c r="AD30"/>
      <c r="AE30"/>
      <c r="AF30"/>
      <c r="AG30"/>
      <c r="AH30"/>
      <c r="AI30"/>
    </row>
    <row r="31" spans="1:35" s="33" customFormat="1" ht="15.75">
      <c r="A31" s="175"/>
      <c r="B31" s="163"/>
      <c r="C31" s="123"/>
      <c r="D31" s="123"/>
      <c r="E31" s="32"/>
      <c r="F31"/>
      <c r="G31"/>
      <c r="H31"/>
      <c r="I31"/>
      <c r="J31"/>
      <c r="K31"/>
      <c r="L31"/>
      <c r="M31"/>
      <c r="N31"/>
      <c r="O31"/>
      <c r="P31"/>
      <c r="Q31"/>
      <c r="R31"/>
      <c r="S31"/>
      <c r="T31"/>
      <c r="U31"/>
      <c r="V31"/>
      <c r="W31"/>
      <c r="X31"/>
      <c r="Y31"/>
      <c r="Z31"/>
      <c r="AA31"/>
      <c r="AB31"/>
      <c r="AC31"/>
      <c r="AD31"/>
      <c r="AE31"/>
      <c r="AF31"/>
      <c r="AG31"/>
      <c r="AH31"/>
      <c r="AI31"/>
    </row>
    <row r="32" spans="1:35" s="33" customFormat="1" ht="15.75">
      <c r="A32" s="175"/>
      <c r="B32" s="163"/>
      <c r="C32" s="123"/>
      <c r="D32" s="123"/>
      <c r="E32" s="32"/>
      <c r="F32"/>
      <c r="G32"/>
      <c r="H32"/>
      <c r="I32"/>
      <c r="J32"/>
      <c r="K32"/>
      <c r="L32"/>
      <c r="M32"/>
      <c r="N32"/>
      <c r="O32"/>
      <c r="P32"/>
      <c r="Q32"/>
      <c r="R32"/>
      <c r="S32"/>
      <c r="T32"/>
      <c r="U32"/>
      <c r="V32"/>
      <c r="W32"/>
      <c r="X32"/>
      <c r="Y32"/>
      <c r="Z32"/>
      <c r="AA32"/>
      <c r="AB32"/>
      <c r="AC32"/>
      <c r="AD32"/>
      <c r="AE32"/>
      <c r="AF32"/>
      <c r="AG32"/>
      <c r="AH32"/>
      <c r="AI32"/>
    </row>
    <row r="33" spans="1:35" s="33" customFormat="1" ht="15.75">
      <c r="A33" s="175"/>
      <c r="B33" s="163"/>
      <c r="C33" s="123"/>
      <c r="D33" s="123"/>
      <c r="E33" s="32"/>
      <c r="F33"/>
      <c r="G33"/>
      <c r="H33"/>
      <c r="I33"/>
      <c r="J33"/>
      <c r="K33"/>
      <c r="L33"/>
      <c r="M33"/>
      <c r="N33"/>
      <c r="O33"/>
      <c r="P33"/>
      <c r="Q33"/>
      <c r="R33"/>
      <c r="S33"/>
      <c r="T33"/>
      <c r="U33"/>
      <c r="V33"/>
      <c r="W33"/>
      <c r="X33"/>
      <c r="Y33"/>
      <c r="Z33"/>
      <c r="AA33"/>
      <c r="AB33"/>
      <c r="AC33"/>
      <c r="AD33"/>
      <c r="AE33"/>
      <c r="AF33"/>
      <c r="AG33"/>
      <c r="AH33"/>
      <c r="AI33"/>
    </row>
    <row r="34" spans="1:35" s="33" customFormat="1" ht="15.75">
      <c r="A34" s="175"/>
      <c r="B34" s="163"/>
      <c r="C34" s="123"/>
      <c r="D34" s="123"/>
      <c r="E34" s="32"/>
      <c r="F34"/>
      <c r="G34"/>
      <c r="H34"/>
      <c r="I34"/>
      <c r="J34"/>
      <c r="K34"/>
      <c r="L34"/>
      <c r="M34"/>
      <c r="N34"/>
      <c r="O34"/>
      <c r="P34"/>
      <c r="Q34"/>
      <c r="R34"/>
      <c r="S34"/>
      <c r="T34"/>
      <c r="U34"/>
      <c r="V34"/>
      <c r="W34"/>
      <c r="X34"/>
      <c r="Y34"/>
      <c r="Z34"/>
      <c r="AA34"/>
      <c r="AB34"/>
      <c r="AC34"/>
      <c r="AD34"/>
      <c r="AE34"/>
      <c r="AF34"/>
      <c r="AG34"/>
      <c r="AH34"/>
      <c r="AI34"/>
    </row>
    <row r="35" spans="1:35" s="33" customFormat="1" ht="15.75">
      <c r="A35" s="175"/>
      <c r="B35" s="163"/>
      <c r="C35" s="123"/>
      <c r="D35" s="123"/>
      <c r="E35" s="32"/>
      <c r="F35"/>
      <c r="G35"/>
      <c r="H35"/>
      <c r="I35"/>
      <c r="J35"/>
      <c r="K35"/>
      <c r="L35"/>
      <c r="M35"/>
      <c r="N35"/>
      <c r="O35"/>
      <c r="P35"/>
      <c r="Q35"/>
      <c r="R35"/>
      <c r="S35"/>
      <c r="T35"/>
      <c r="U35"/>
      <c r="V35"/>
      <c r="W35"/>
      <c r="X35"/>
      <c r="Y35"/>
      <c r="Z35"/>
      <c r="AA35"/>
      <c r="AB35"/>
      <c r="AC35"/>
      <c r="AD35"/>
      <c r="AE35"/>
      <c r="AF35"/>
      <c r="AG35"/>
      <c r="AH35"/>
      <c r="AI35"/>
    </row>
    <row r="36" spans="1:35" s="33" customFormat="1" ht="15.75">
      <c r="A36" s="175"/>
      <c r="B36" s="163"/>
      <c r="C36" s="123"/>
      <c r="D36" s="123"/>
      <c r="E36" s="32"/>
      <c r="F36"/>
      <c r="G36"/>
      <c r="H36"/>
      <c r="I36"/>
      <c r="J36"/>
      <c r="K36"/>
      <c r="L36"/>
      <c r="M36"/>
      <c r="N36"/>
      <c r="O36"/>
      <c r="P36"/>
      <c r="Q36"/>
      <c r="R36"/>
      <c r="S36"/>
      <c r="T36"/>
      <c r="U36"/>
      <c r="V36"/>
      <c r="W36"/>
      <c r="X36"/>
      <c r="Y36"/>
      <c r="Z36"/>
      <c r="AA36"/>
      <c r="AB36"/>
      <c r="AC36"/>
      <c r="AD36"/>
      <c r="AE36"/>
      <c r="AF36"/>
      <c r="AG36"/>
      <c r="AH36"/>
      <c r="AI36"/>
    </row>
    <row r="37" spans="1:35" s="33" customFormat="1" ht="15.75">
      <c r="A37" s="175"/>
      <c r="B37" s="163"/>
      <c r="C37" s="123"/>
      <c r="D37" s="123"/>
      <c r="E37" s="32"/>
      <c r="F37"/>
      <c r="G37"/>
      <c r="H37"/>
      <c r="I37"/>
      <c r="J37"/>
      <c r="K37"/>
      <c r="L37"/>
      <c r="M37"/>
      <c r="N37"/>
      <c r="O37"/>
      <c r="P37"/>
      <c r="Q37"/>
      <c r="R37"/>
      <c r="S37"/>
      <c r="T37"/>
      <c r="U37"/>
      <c r="V37"/>
      <c r="W37"/>
      <c r="X37"/>
      <c r="Y37"/>
      <c r="Z37"/>
      <c r="AA37"/>
      <c r="AB37"/>
      <c r="AC37"/>
      <c r="AD37"/>
      <c r="AE37"/>
      <c r="AF37"/>
      <c r="AG37"/>
      <c r="AH37"/>
      <c r="AI37"/>
    </row>
    <row r="38" spans="1:35" s="33" customFormat="1" ht="15.75">
      <c r="A38" s="175"/>
      <c r="B38" s="163"/>
      <c r="C38" s="123"/>
      <c r="D38" s="123"/>
      <c r="E38" s="32"/>
      <c r="F38"/>
      <c r="G38"/>
      <c r="H38"/>
      <c r="I38"/>
      <c r="J38"/>
      <c r="K38"/>
      <c r="L38"/>
      <c r="M38"/>
      <c r="N38"/>
      <c r="O38"/>
      <c r="P38"/>
      <c r="Q38"/>
      <c r="R38"/>
      <c r="S38"/>
      <c r="T38"/>
      <c r="U38"/>
      <c r="V38"/>
      <c r="W38"/>
      <c r="X38"/>
      <c r="Y38"/>
      <c r="Z38"/>
      <c r="AA38"/>
      <c r="AB38"/>
      <c r="AC38"/>
      <c r="AD38"/>
      <c r="AE38"/>
      <c r="AF38"/>
      <c r="AG38"/>
      <c r="AH38"/>
      <c r="AI38"/>
    </row>
    <row r="39" spans="1:35" s="33" customFormat="1" ht="15.75">
      <c r="A39" s="175"/>
      <c r="B39" s="163"/>
      <c r="C39" s="123"/>
      <c r="D39" s="123"/>
      <c r="E39" s="32"/>
      <c r="F39"/>
      <c r="G39"/>
      <c r="H39"/>
      <c r="I39"/>
      <c r="J39"/>
      <c r="K39"/>
      <c r="L39"/>
      <c r="M39"/>
      <c r="N39"/>
      <c r="O39"/>
      <c r="P39"/>
      <c r="Q39"/>
      <c r="R39"/>
      <c r="S39"/>
      <c r="T39"/>
      <c r="U39"/>
      <c r="V39"/>
      <c r="W39"/>
      <c r="X39"/>
      <c r="Y39"/>
      <c r="Z39"/>
      <c r="AA39"/>
      <c r="AB39"/>
      <c r="AC39"/>
      <c r="AD39"/>
      <c r="AE39"/>
      <c r="AF39"/>
      <c r="AG39"/>
      <c r="AH39"/>
      <c r="AI39"/>
    </row>
    <row r="40" spans="1:35" s="33" customFormat="1" ht="15.75">
      <c r="A40" s="175"/>
      <c r="B40" s="163"/>
      <c r="C40" s="123"/>
      <c r="D40" s="123"/>
      <c r="E40" s="32"/>
      <c r="F40"/>
      <c r="G40"/>
      <c r="H40"/>
      <c r="I40"/>
      <c r="J40"/>
      <c r="K40"/>
      <c r="L40"/>
      <c r="M40"/>
      <c r="N40"/>
      <c r="O40"/>
      <c r="P40"/>
      <c r="Q40"/>
      <c r="R40"/>
      <c r="S40"/>
      <c r="T40"/>
      <c r="U40"/>
      <c r="V40"/>
      <c r="W40"/>
      <c r="X40"/>
      <c r="Y40"/>
      <c r="Z40"/>
      <c r="AA40"/>
      <c r="AB40"/>
      <c r="AC40"/>
      <c r="AD40"/>
      <c r="AE40"/>
      <c r="AF40"/>
      <c r="AG40"/>
      <c r="AH40"/>
      <c r="AI40"/>
    </row>
    <row r="41" spans="1:35" s="33" customFormat="1" ht="15.75">
      <c r="A41" s="175"/>
      <c r="B41" s="163"/>
      <c r="C41" s="123"/>
      <c r="D41" s="123"/>
      <c r="E41" s="32"/>
      <c r="F41"/>
      <c r="G41"/>
      <c r="H41"/>
      <c r="I41"/>
      <c r="J41"/>
      <c r="K41"/>
      <c r="L41"/>
      <c r="M41"/>
      <c r="N41"/>
      <c r="O41"/>
      <c r="P41"/>
      <c r="Q41"/>
      <c r="R41"/>
      <c r="S41"/>
      <c r="T41"/>
      <c r="U41"/>
      <c r="V41"/>
      <c r="W41"/>
      <c r="X41"/>
      <c r="Y41"/>
      <c r="Z41"/>
      <c r="AA41"/>
      <c r="AB41"/>
      <c r="AC41"/>
      <c r="AD41"/>
      <c r="AE41"/>
      <c r="AF41"/>
      <c r="AG41"/>
      <c r="AH41"/>
      <c r="AI41"/>
    </row>
    <row r="42" spans="1:35" s="33" customFormat="1" ht="15.75">
      <c r="A42" s="175"/>
      <c r="B42" s="163"/>
      <c r="C42" s="123"/>
      <c r="D42" s="123"/>
      <c r="E42" s="32"/>
      <c r="F42"/>
      <c r="G42"/>
      <c r="H42"/>
      <c r="I42"/>
      <c r="J42"/>
      <c r="K42"/>
      <c r="L42"/>
      <c r="M42"/>
      <c r="N42"/>
      <c r="O42"/>
      <c r="P42"/>
      <c r="Q42"/>
      <c r="R42"/>
      <c r="S42"/>
      <c r="T42"/>
      <c r="U42"/>
      <c r="V42"/>
      <c r="W42"/>
      <c r="X42"/>
      <c r="Y42"/>
      <c r="Z42"/>
      <c r="AA42"/>
      <c r="AB42"/>
      <c r="AC42"/>
      <c r="AD42"/>
      <c r="AE42"/>
      <c r="AF42"/>
      <c r="AG42"/>
      <c r="AH42"/>
      <c r="AI42"/>
    </row>
    <row r="43" spans="1:35" s="33" customFormat="1" ht="15.75">
      <c r="A43" s="175"/>
      <c r="B43" s="163"/>
      <c r="C43" s="123"/>
      <c r="D43" s="123"/>
      <c r="E43" s="32"/>
      <c r="F43"/>
      <c r="G43"/>
      <c r="H43"/>
      <c r="I43"/>
      <c r="J43"/>
      <c r="K43"/>
      <c r="L43"/>
      <c r="M43"/>
      <c r="N43"/>
      <c r="O43"/>
      <c r="P43"/>
      <c r="Q43"/>
      <c r="R43"/>
      <c r="S43"/>
      <c r="T43"/>
      <c r="U43"/>
      <c r="V43"/>
      <c r="W43"/>
      <c r="X43"/>
      <c r="Y43"/>
      <c r="Z43"/>
      <c r="AA43"/>
      <c r="AB43"/>
      <c r="AC43"/>
      <c r="AD43"/>
      <c r="AE43"/>
      <c r="AF43"/>
      <c r="AG43"/>
      <c r="AH43"/>
      <c r="AI43"/>
    </row>
    <row r="44" spans="1:35" s="33" customFormat="1" ht="15.75">
      <c r="A44" s="175"/>
      <c r="B44" s="163"/>
      <c r="C44" s="123"/>
      <c r="D44" s="123"/>
      <c r="E44" s="32"/>
      <c r="F44"/>
      <c r="G44"/>
      <c r="H44"/>
      <c r="I44"/>
      <c r="J44"/>
      <c r="K44"/>
      <c r="L44"/>
      <c r="M44"/>
      <c r="N44"/>
      <c r="O44"/>
      <c r="P44"/>
      <c r="Q44"/>
      <c r="R44"/>
      <c r="S44"/>
      <c r="T44"/>
      <c r="U44"/>
      <c r="V44"/>
      <c r="W44"/>
      <c r="X44"/>
      <c r="Y44"/>
      <c r="Z44"/>
      <c r="AA44"/>
      <c r="AB44"/>
      <c r="AC44"/>
      <c r="AD44"/>
      <c r="AE44"/>
      <c r="AF44"/>
      <c r="AG44"/>
      <c r="AH44"/>
      <c r="AI44"/>
    </row>
    <row r="45" spans="1:35" s="33" customFormat="1" ht="15.75">
      <c r="A45" s="175"/>
      <c r="B45" s="163"/>
      <c r="C45" s="123"/>
      <c r="D45" s="123"/>
      <c r="E45" s="32"/>
      <c r="F45"/>
      <c r="G45"/>
      <c r="H45"/>
      <c r="I45"/>
      <c r="J45"/>
      <c r="K45"/>
      <c r="L45"/>
      <c r="M45"/>
      <c r="N45"/>
      <c r="O45"/>
      <c r="P45"/>
      <c r="Q45"/>
      <c r="R45"/>
      <c r="S45"/>
      <c r="T45"/>
      <c r="U45"/>
      <c r="V45"/>
      <c r="W45"/>
      <c r="X45"/>
      <c r="Y45"/>
      <c r="Z45"/>
      <c r="AA45"/>
      <c r="AB45"/>
      <c r="AC45"/>
      <c r="AD45"/>
      <c r="AE45"/>
      <c r="AF45"/>
      <c r="AG45"/>
      <c r="AH45"/>
      <c r="AI45"/>
    </row>
    <row r="46" spans="1:35" s="33" customFormat="1" ht="15.75">
      <c r="A46" s="175"/>
      <c r="B46" s="163"/>
      <c r="C46" s="123"/>
      <c r="D46" s="123"/>
      <c r="E46" s="32"/>
      <c r="F46"/>
      <c r="G46"/>
      <c r="H46"/>
      <c r="I46"/>
      <c r="J46"/>
      <c r="K46"/>
      <c r="L46"/>
      <c r="M46"/>
      <c r="N46"/>
      <c r="O46"/>
      <c r="P46"/>
      <c r="Q46"/>
      <c r="R46"/>
      <c r="S46"/>
      <c r="T46"/>
      <c r="U46"/>
      <c r="V46"/>
      <c r="W46"/>
      <c r="X46"/>
      <c r="Y46"/>
      <c r="Z46"/>
      <c r="AA46"/>
      <c r="AB46"/>
      <c r="AC46"/>
      <c r="AD46"/>
      <c r="AE46"/>
      <c r="AF46"/>
      <c r="AG46"/>
      <c r="AH46"/>
      <c r="AI46"/>
    </row>
    <row r="47" spans="1:35" s="33" customFormat="1" ht="15.75">
      <c r="A47" s="175"/>
      <c r="B47" s="163"/>
      <c r="C47" s="123"/>
      <c r="D47" s="123"/>
      <c r="E47" s="32"/>
      <c r="F47"/>
      <c r="G47"/>
      <c r="H47"/>
      <c r="I47"/>
      <c r="J47"/>
      <c r="K47"/>
      <c r="L47"/>
      <c r="M47"/>
      <c r="N47"/>
      <c r="O47"/>
      <c r="P47"/>
      <c r="Q47"/>
      <c r="R47"/>
      <c r="S47"/>
      <c r="T47"/>
      <c r="U47"/>
      <c r="V47"/>
      <c r="W47"/>
      <c r="X47"/>
      <c r="Y47"/>
      <c r="Z47"/>
      <c r="AA47"/>
      <c r="AB47"/>
      <c r="AC47"/>
      <c r="AD47"/>
      <c r="AE47"/>
      <c r="AF47"/>
      <c r="AG47"/>
      <c r="AH47"/>
      <c r="AI47"/>
    </row>
    <row r="48" spans="1:35" s="33" customFormat="1" ht="15.75">
      <c r="A48" s="175"/>
      <c r="B48" s="163"/>
      <c r="C48" s="123"/>
      <c r="D48" s="123"/>
      <c r="E48" s="32"/>
      <c r="F48"/>
      <c r="G48"/>
      <c r="H48"/>
      <c r="I48"/>
      <c r="J48"/>
      <c r="K48"/>
      <c r="L48"/>
      <c r="M48"/>
      <c r="N48"/>
      <c r="O48"/>
      <c r="P48"/>
      <c r="Q48"/>
      <c r="R48"/>
      <c r="S48"/>
      <c r="T48"/>
      <c r="U48"/>
      <c r="V48"/>
      <c r="W48"/>
      <c r="X48"/>
      <c r="Y48"/>
      <c r="Z48"/>
      <c r="AA48"/>
      <c r="AB48"/>
      <c r="AC48"/>
      <c r="AD48"/>
      <c r="AE48"/>
      <c r="AF48"/>
      <c r="AG48"/>
      <c r="AH48"/>
      <c r="AI48"/>
    </row>
    <row r="49" spans="1:35" s="33" customFormat="1" ht="15.75">
      <c r="A49" s="175"/>
      <c r="B49" s="163"/>
      <c r="C49" s="123"/>
      <c r="D49" s="123"/>
      <c r="E49" s="32"/>
      <c r="F49"/>
      <c r="G49"/>
      <c r="H49"/>
      <c r="I49"/>
      <c r="J49"/>
      <c r="K49"/>
      <c r="L49"/>
      <c r="M49"/>
      <c r="N49"/>
      <c r="O49"/>
      <c r="P49"/>
      <c r="Q49"/>
      <c r="R49"/>
      <c r="S49"/>
      <c r="T49"/>
      <c r="U49"/>
      <c r="V49"/>
      <c r="W49"/>
      <c r="X49"/>
      <c r="Y49"/>
      <c r="Z49"/>
      <c r="AA49"/>
      <c r="AB49"/>
      <c r="AC49"/>
      <c r="AD49"/>
      <c r="AE49"/>
      <c r="AF49"/>
      <c r="AG49"/>
      <c r="AH49"/>
      <c r="AI49"/>
    </row>
    <row r="50" spans="1:35" s="33" customFormat="1" ht="15.75">
      <c r="A50" s="175"/>
      <c r="B50" s="163"/>
      <c r="C50" s="123"/>
      <c r="D50" s="123"/>
      <c r="E50" s="32"/>
      <c r="F50"/>
      <c r="G50"/>
      <c r="H50"/>
      <c r="I50"/>
      <c r="J50"/>
      <c r="K50"/>
      <c r="L50"/>
      <c r="M50"/>
      <c r="N50"/>
      <c r="O50"/>
      <c r="P50"/>
      <c r="Q50"/>
      <c r="R50"/>
      <c r="S50"/>
      <c r="T50"/>
      <c r="U50"/>
      <c r="V50"/>
      <c r="W50"/>
      <c r="X50"/>
      <c r="Y50"/>
      <c r="Z50"/>
      <c r="AA50"/>
      <c r="AB50"/>
      <c r="AC50"/>
      <c r="AD50"/>
      <c r="AE50"/>
      <c r="AF50"/>
      <c r="AG50"/>
      <c r="AH50"/>
      <c r="AI50"/>
    </row>
    <row r="51" spans="1:35" s="33" customFormat="1" ht="15.75">
      <c r="A51" s="175"/>
      <c r="B51" s="163"/>
      <c r="C51" s="123"/>
      <c r="D51" s="123"/>
      <c r="E51" s="32"/>
      <c r="F51"/>
      <c r="G51"/>
      <c r="H51"/>
      <c r="I51"/>
      <c r="J51"/>
      <c r="K51"/>
      <c r="L51"/>
      <c r="M51"/>
      <c r="N51"/>
      <c r="O51"/>
      <c r="P51"/>
      <c r="Q51"/>
      <c r="R51"/>
      <c r="S51"/>
      <c r="T51"/>
      <c r="U51"/>
      <c r="V51"/>
      <c r="W51"/>
      <c r="X51"/>
      <c r="Y51"/>
      <c r="Z51"/>
      <c r="AA51"/>
      <c r="AB51"/>
      <c r="AC51"/>
      <c r="AD51"/>
      <c r="AE51"/>
      <c r="AF51"/>
      <c r="AG51"/>
      <c r="AH51"/>
      <c r="AI51"/>
    </row>
    <row r="52" spans="1:35" s="33" customFormat="1" ht="15.75">
      <c r="A52" s="175"/>
      <c r="B52" s="163"/>
      <c r="C52" s="123"/>
      <c r="D52" s="123"/>
      <c r="E52" s="32"/>
      <c r="F52"/>
      <c r="G52"/>
      <c r="H52"/>
      <c r="I52"/>
      <c r="J52"/>
      <c r="K52"/>
      <c r="L52"/>
      <c r="M52"/>
      <c r="N52"/>
      <c r="O52"/>
      <c r="P52"/>
      <c r="Q52"/>
      <c r="R52"/>
      <c r="S52"/>
      <c r="T52"/>
      <c r="U52"/>
      <c r="V52"/>
      <c r="W52"/>
      <c r="X52"/>
      <c r="Y52"/>
      <c r="Z52"/>
      <c r="AA52"/>
      <c r="AB52"/>
      <c r="AC52"/>
      <c r="AD52"/>
      <c r="AE52"/>
      <c r="AF52"/>
      <c r="AG52"/>
      <c r="AH52"/>
      <c r="AI52"/>
    </row>
    <row r="53" spans="1:35" s="33" customFormat="1" ht="15.75">
      <c r="A53" s="175"/>
      <c r="B53" s="163"/>
      <c r="C53" s="123"/>
      <c r="D53" s="123"/>
      <c r="E53" s="32"/>
      <c r="F53"/>
      <c r="G53"/>
      <c r="H53"/>
      <c r="I53"/>
      <c r="J53"/>
      <c r="K53"/>
      <c r="L53"/>
      <c r="M53"/>
      <c r="N53"/>
      <c r="O53"/>
      <c r="P53"/>
      <c r="Q53"/>
      <c r="R53"/>
      <c r="S53"/>
      <c r="T53"/>
      <c r="U53"/>
      <c r="V53"/>
      <c r="W53"/>
      <c r="X53"/>
      <c r="Y53"/>
      <c r="Z53"/>
      <c r="AA53"/>
      <c r="AB53"/>
      <c r="AC53"/>
      <c r="AD53"/>
      <c r="AE53"/>
      <c r="AF53"/>
      <c r="AG53"/>
      <c r="AH53"/>
      <c r="AI53"/>
    </row>
    <row r="54" spans="1:35" s="33" customFormat="1" ht="15.75">
      <c r="A54" s="175"/>
      <c r="B54" s="163"/>
      <c r="C54" s="123"/>
      <c r="D54" s="123"/>
      <c r="E54" s="32"/>
      <c r="F54"/>
      <c r="G54"/>
      <c r="H54"/>
      <c r="I54"/>
      <c r="J54"/>
      <c r="K54"/>
      <c r="L54"/>
      <c r="M54"/>
      <c r="N54"/>
      <c r="O54"/>
      <c r="P54"/>
      <c r="Q54"/>
      <c r="R54"/>
      <c r="S54"/>
      <c r="T54"/>
      <c r="U54"/>
      <c r="V54"/>
      <c r="W54"/>
      <c r="X54"/>
      <c r="Y54"/>
      <c r="Z54"/>
      <c r="AA54"/>
      <c r="AB54"/>
      <c r="AC54"/>
      <c r="AD54"/>
      <c r="AE54"/>
      <c r="AF54"/>
      <c r="AG54"/>
      <c r="AH54"/>
      <c r="AI54"/>
    </row>
    <row r="55" spans="1:35" s="33" customFormat="1" ht="15.75">
      <c r="A55" s="175"/>
      <c r="B55" s="163"/>
      <c r="C55" s="123"/>
      <c r="D55" s="123"/>
      <c r="E55" s="32"/>
      <c r="F55"/>
      <c r="G55"/>
      <c r="H55"/>
      <c r="I55"/>
      <c r="J55"/>
      <c r="K55"/>
      <c r="L55"/>
      <c r="M55"/>
      <c r="N55"/>
      <c r="O55"/>
      <c r="P55"/>
      <c r="Q55"/>
      <c r="R55"/>
      <c r="S55"/>
      <c r="T55"/>
      <c r="U55"/>
      <c r="V55"/>
      <c r="W55"/>
      <c r="X55"/>
      <c r="Y55"/>
      <c r="Z55"/>
      <c r="AA55"/>
      <c r="AB55"/>
      <c r="AC55"/>
      <c r="AD55"/>
      <c r="AE55"/>
      <c r="AF55"/>
      <c r="AG55"/>
      <c r="AH55"/>
      <c r="AI55"/>
    </row>
    <row r="56" spans="1:35" s="33" customFormat="1" ht="15.75">
      <c r="A56" s="175"/>
      <c r="B56" s="163"/>
      <c r="C56" s="123"/>
      <c r="D56" s="123"/>
      <c r="E56" s="32"/>
      <c r="F56"/>
      <c r="G56"/>
      <c r="H56"/>
      <c r="I56"/>
      <c r="J56"/>
      <c r="K56"/>
      <c r="L56"/>
      <c r="M56"/>
      <c r="N56"/>
      <c r="O56"/>
      <c r="P56"/>
      <c r="Q56"/>
      <c r="R56"/>
      <c r="S56"/>
      <c r="T56"/>
      <c r="U56"/>
      <c r="V56"/>
      <c r="W56"/>
      <c r="X56"/>
      <c r="Y56"/>
      <c r="Z56"/>
      <c r="AA56"/>
      <c r="AB56"/>
      <c r="AC56"/>
      <c r="AD56"/>
      <c r="AE56"/>
      <c r="AF56"/>
      <c r="AG56"/>
      <c r="AH56"/>
      <c r="AI56"/>
    </row>
    <row r="57" spans="1:35" s="33" customFormat="1" ht="15.75">
      <c r="A57" s="175"/>
      <c r="B57" s="163"/>
      <c r="C57" s="123"/>
      <c r="D57" s="123"/>
      <c r="E57" s="32"/>
      <c r="F57"/>
      <c r="G57"/>
      <c r="H57"/>
      <c r="I57"/>
      <c r="J57"/>
      <c r="K57"/>
      <c r="L57"/>
      <c r="M57"/>
      <c r="N57"/>
      <c r="O57"/>
      <c r="P57"/>
      <c r="Q57"/>
      <c r="R57"/>
      <c r="S57"/>
      <c r="T57"/>
      <c r="U57"/>
      <c r="V57"/>
      <c r="W57"/>
      <c r="X57"/>
      <c r="Y57"/>
      <c r="Z57"/>
      <c r="AA57"/>
      <c r="AB57"/>
      <c r="AC57"/>
      <c r="AD57"/>
      <c r="AE57"/>
      <c r="AF57"/>
      <c r="AG57"/>
      <c r="AH57"/>
      <c r="AI57"/>
    </row>
    <row r="58" spans="1:35" s="33" customFormat="1" ht="15.75">
      <c r="A58" s="175"/>
      <c r="B58" s="163"/>
      <c r="C58" s="123"/>
      <c r="D58" s="123"/>
      <c r="E58" s="32"/>
      <c r="F58"/>
      <c r="G58"/>
      <c r="H58"/>
      <c r="I58"/>
      <c r="J58"/>
      <c r="K58"/>
      <c r="L58"/>
      <c r="M58"/>
      <c r="N58"/>
      <c r="O58"/>
      <c r="P58"/>
      <c r="Q58"/>
      <c r="R58"/>
      <c r="S58"/>
      <c r="T58"/>
      <c r="U58"/>
      <c r="V58"/>
      <c r="W58"/>
      <c r="X58"/>
      <c r="Y58"/>
      <c r="Z58"/>
      <c r="AA58"/>
      <c r="AB58"/>
      <c r="AC58"/>
      <c r="AD58"/>
      <c r="AE58"/>
      <c r="AF58"/>
      <c r="AG58"/>
      <c r="AH58"/>
      <c r="AI58"/>
    </row>
    <row r="59" spans="1:35" s="33" customFormat="1" ht="15.75">
      <c r="A59" s="175"/>
      <c r="B59" s="163"/>
      <c r="C59" s="123"/>
      <c r="D59" s="123"/>
      <c r="E59" s="32"/>
      <c r="F59"/>
      <c r="G59"/>
      <c r="H59"/>
      <c r="I59"/>
      <c r="J59"/>
      <c r="K59"/>
      <c r="L59"/>
      <c r="M59"/>
      <c r="N59"/>
      <c r="O59"/>
      <c r="P59"/>
      <c r="Q59"/>
      <c r="R59"/>
      <c r="S59"/>
      <c r="T59"/>
      <c r="U59"/>
      <c r="V59"/>
      <c r="W59"/>
      <c r="X59"/>
      <c r="Y59"/>
      <c r="Z59"/>
      <c r="AA59"/>
      <c r="AB59"/>
      <c r="AC59"/>
      <c r="AD59"/>
      <c r="AE59"/>
      <c r="AF59"/>
      <c r="AG59"/>
      <c r="AH59"/>
      <c r="AI59"/>
    </row>
    <row r="60" spans="1:35" s="33" customFormat="1" ht="15.75">
      <c r="A60" s="175"/>
      <c r="B60" s="163"/>
      <c r="C60" s="123"/>
      <c r="D60" s="123"/>
      <c r="E60" s="32"/>
      <c r="F60"/>
      <c r="G60"/>
      <c r="H60"/>
      <c r="I60"/>
      <c r="J60"/>
      <c r="K60"/>
      <c r="L60"/>
      <c r="M60"/>
      <c r="N60"/>
      <c r="O60"/>
      <c r="P60"/>
      <c r="Q60"/>
      <c r="R60"/>
      <c r="S60"/>
      <c r="T60"/>
      <c r="U60"/>
      <c r="V60"/>
      <c r="W60"/>
      <c r="X60"/>
      <c r="Y60"/>
      <c r="Z60"/>
      <c r="AA60"/>
      <c r="AB60"/>
      <c r="AC60"/>
      <c r="AD60"/>
      <c r="AE60"/>
      <c r="AF60"/>
      <c r="AG60"/>
      <c r="AH60"/>
      <c r="AI60"/>
    </row>
    <row r="61" spans="1:35" s="33" customFormat="1" ht="15.75">
      <c r="A61" s="175"/>
      <c r="B61" s="163"/>
      <c r="C61" s="123"/>
      <c r="D61" s="123"/>
      <c r="E61" s="32"/>
      <c r="F61"/>
      <c r="G61"/>
      <c r="H61"/>
      <c r="I61"/>
      <c r="J61"/>
      <c r="K61"/>
      <c r="L61"/>
      <c r="M61"/>
      <c r="N61"/>
      <c r="O61"/>
      <c r="P61"/>
      <c r="Q61"/>
      <c r="R61"/>
      <c r="S61"/>
      <c r="T61"/>
      <c r="U61"/>
      <c r="V61"/>
      <c r="W61"/>
      <c r="X61"/>
      <c r="Y61"/>
      <c r="Z61"/>
      <c r="AA61"/>
      <c r="AB61"/>
      <c r="AC61"/>
      <c r="AD61"/>
      <c r="AE61"/>
      <c r="AF61"/>
      <c r="AG61"/>
      <c r="AH61"/>
      <c r="AI61"/>
    </row>
    <row r="62" spans="1:35" s="33" customFormat="1" ht="15.75">
      <c r="A62" s="175"/>
      <c r="B62" s="163"/>
      <c r="C62" s="123"/>
      <c r="D62" s="123"/>
      <c r="E62" s="32"/>
      <c r="F62"/>
      <c r="G62"/>
      <c r="H62"/>
      <c r="I62"/>
      <c r="J62"/>
      <c r="K62"/>
      <c r="L62"/>
      <c r="M62"/>
      <c r="N62"/>
      <c r="O62"/>
      <c r="P62"/>
      <c r="Q62"/>
      <c r="R62"/>
      <c r="S62"/>
      <c r="T62"/>
      <c r="U62"/>
      <c r="V62"/>
      <c r="W62"/>
      <c r="X62"/>
      <c r="Y62"/>
      <c r="Z62"/>
      <c r="AA62"/>
      <c r="AB62"/>
      <c r="AC62"/>
      <c r="AD62"/>
      <c r="AE62"/>
      <c r="AF62"/>
      <c r="AG62"/>
      <c r="AH62"/>
      <c r="AI62"/>
    </row>
    <row r="63" spans="1:35" s="33" customFormat="1" ht="15.75">
      <c r="A63" s="175"/>
      <c r="B63" s="163"/>
      <c r="C63" s="123"/>
      <c r="D63" s="123"/>
      <c r="E63" s="32"/>
      <c r="F63"/>
      <c r="G63"/>
      <c r="H63"/>
      <c r="I63"/>
      <c r="J63"/>
      <c r="K63"/>
      <c r="L63"/>
      <c r="M63"/>
      <c r="N63"/>
      <c r="O63"/>
      <c r="P63"/>
      <c r="Q63"/>
      <c r="R63"/>
      <c r="S63"/>
      <c r="T63"/>
      <c r="U63"/>
      <c r="V63"/>
      <c r="W63"/>
      <c r="X63"/>
      <c r="Y63"/>
      <c r="Z63"/>
      <c r="AA63"/>
      <c r="AB63"/>
      <c r="AC63"/>
      <c r="AD63"/>
      <c r="AE63"/>
      <c r="AF63"/>
      <c r="AG63"/>
      <c r="AH63"/>
      <c r="AI63"/>
    </row>
    <row r="64" spans="1:35" s="33" customFormat="1" ht="15.75">
      <c r="A64" s="175"/>
      <c r="B64" s="163"/>
      <c r="C64" s="123"/>
      <c r="D64" s="123"/>
      <c r="E64" s="32"/>
      <c r="F64"/>
      <c r="G64"/>
      <c r="H64"/>
      <c r="I64"/>
      <c r="J64"/>
      <c r="K64"/>
      <c r="L64"/>
      <c r="M64"/>
      <c r="N64"/>
      <c r="O64"/>
      <c r="P64"/>
      <c r="Q64"/>
      <c r="R64"/>
      <c r="S64"/>
      <c r="T64"/>
      <c r="U64"/>
      <c r="V64"/>
      <c r="W64"/>
      <c r="X64"/>
      <c r="Y64"/>
      <c r="Z64"/>
      <c r="AA64"/>
      <c r="AB64"/>
      <c r="AC64"/>
      <c r="AD64"/>
      <c r="AE64"/>
      <c r="AF64"/>
      <c r="AG64"/>
      <c r="AH64"/>
      <c r="AI64"/>
    </row>
    <row r="65" spans="1:35" s="33" customFormat="1" ht="15.75">
      <c r="A65" s="175"/>
      <c r="B65" s="163"/>
      <c r="C65" s="123"/>
      <c r="D65" s="123"/>
      <c r="E65" s="32"/>
      <c r="F65"/>
      <c r="G65"/>
      <c r="H65"/>
      <c r="I65"/>
      <c r="J65"/>
      <c r="K65"/>
      <c r="L65"/>
      <c r="M65"/>
      <c r="N65"/>
      <c r="O65"/>
      <c r="P65"/>
      <c r="Q65"/>
      <c r="R65"/>
      <c r="S65"/>
      <c r="T65"/>
      <c r="U65"/>
      <c r="V65"/>
      <c r="W65"/>
      <c r="X65"/>
      <c r="Y65"/>
      <c r="Z65"/>
      <c r="AA65"/>
      <c r="AB65"/>
      <c r="AC65"/>
      <c r="AD65"/>
      <c r="AE65"/>
      <c r="AF65"/>
      <c r="AG65"/>
      <c r="AH65"/>
      <c r="AI65"/>
    </row>
    <row r="66" spans="1:35" s="33" customFormat="1" ht="15.75">
      <c r="A66" s="175"/>
      <c r="B66" s="163"/>
      <c r="C66" s="123"/>
      <c r="D66" s="123"/>
      <c r="E66" s="32"/>
      <c r="F66"/>
      <c r="G66"/>
      <c r="H66"/>
      <c r="I66"/>
      <c r="J66"/>
      <c r="K66"/>
      <c r="L66"/>
      <c r="M66"/>
      <c r="N66"/>
      <c r="O66"/>
      <c r="P66"/>
      <c r="Q66"/>
      <c r="R66"/>
      <c r="S66"/>
      <c r="T66"/>
      <c r="U66"/>
      <c r="V66"/>
      <c r="W66"/>
      <c r="X66"/>
      <c r="Y66"/>
      <c r="Z66"/>
      <c r="AA66"/>
      <c r="AB66"/>
      <c r="AC66"/>
      <c r="AD66"/>
      <c r="AE66"/>
      <c r="AF66"/>
      <c r="AG66"/>
      <c r="AH66"/>
      <c r="AI66"/>
    </row>
    <row r="67" spans="1:35" s="33" customFormat="1" ht="15.75">
      <c r="A67" s="175"/>
      <c r="B67" s="163"/>
      <c r="C67" s="123"/>
      <c r="D67" s="123"/>
      <c r="E67" s="32"/>
      <c r="F67"/>
      <c r="G67"/>
      <c r="H67"/>
      <c r="I67"/>
      <c r="J67"/>
      <c r="K67"/>
      <c r="L67"/>
      <c r="M67"/>
      <c r="N67"/>
      <c r="O67"/>
      <c r="P67"/>
      <c r="Q67"/>
      <c r="R67"/>
      <c r="S67"/>
      <c r="T67"/>
      <c r="U67"/>
      <c r="V67"/>
      <c r="W67"/>
      <c r="X67"/>
      <c r="Y67"/>
      <c r="Z67"/>
      <c r="AA67"/>
      <c r="AB67"/>
      <c r="AC67"/>
      <c r="AD67"/>
      <c r="AE67"/>
      <c r="AF67"/>
      <c r="AG67"/>
      <c r="AH67"/>
      <c r="AI67"/>
    </row>
    <row r="68" spans="1:35" s="33" customFormat="1" ht="15.75">
      <c r="A68" s="175"/>
      <c r="B68" s="163"/>
      <c r="C68" s="123"/>
      <c r="D68" s="123"/>
      <c r="E68" s="32"/>
      <c r="F68"/>
      <c r="G68"/>
      <c r="H68"/>
      <c r="I68"/>
      <c r="J68"/>
      <c r="K68"/>
      <c r="L68"/>
      <c r="M68"/>
      <c r="N68"/>
      <c r="O68"/>
      <c r="P68"/>
      <c r="Q68"/>
      <c r="R68"/>
      <c r="S68"/>
      <c r="T68"/>
      <c r="U68"/>
      <c r="V68"/>
      <c r="W68"/>
      <c r="X68"/>
      <c r="Y68"/>
      <c r="Z68"/>
      <c r="AA68"/>
      <c r="AB68"/>
      <c r="AC68"/>
      <c r="AD68"/>
      <c r="AE68"/>
      <c r="AF68"/>
      <c r="AG68"/>
      <c r="AH68"/>
      <c r="AI68"/>
    </row>
    <row r="69" spans="1:35" s="33" customFormat="1" ht="15.75">
      <c r="A69" s="175"/>
      <c r="B69" s="163"/>
      <c r="C69" s="123"/>
      <c r="D69" s="123"/>
      <c r="E69" s="32"/>
      <c r="F69"/>
      <c r="G69"/>
      <c r="H69"/>
      <c r="I69"/>
      <c r="J69"/>
      <c r="K69"/>
      <c r="L69"/>
      <c r="M69"/>
      <c r="N69"/>
      <c r="O69"/>
      <c r="P69"/>
      <c r="Q69"/>
      <c r="R69"/>
      <c r="S69"/>
      <c r="T69"/>
      <c r="U69"/>
      <c r="V69"/>
      <c r="W69"/>
      <c r="X69"/>
      <c r="Y69"/>
      <c r="Z69"/>
      <c r="AA69"/>
      <c r="AB69"/>
      <c r="AC69"/>
      <c r="AD69"/>
      <c r="AE69"/>
      <c r="AF69"/>
      <c r="AG69"/>
      <c r="AH69"/>
      <c r="AI69"/>
    </row>
    <row r="70" spans="1:35" s="33" customFormat="1" ht="15.75">
      <c r="A70" s="175"/>
      <c r="B70" s="163"/>
      <c r="C70" s="123"/>
      <c r="D70" s="123"/>
      <c r="E70" s="32"/>
      <c r="F70"/>
      <c r="G70"/>
      <c r="H70"/>
      <c r="I70"/>
      <c r="J70"/>
      <c r="K70"/>
      <c r="L70"/>
      <c r="M70"/>
      <c r="N70"/>
      <c r="O70"/>
      <c r="P70"/>
      <c r="Q70"/>
      <c r="R70"/>
      <c r="S70"/>
      <c r="T70"/>
      <c r="U70"/>
      <c r="V70"/>
      <c r="W70"/>
      <c r="X70"/>
      <c r="Y70"/>
      <c r="Z70"/>
      <c r="AA70"/>
      <c r="AB70"/>
      <c r="AC70"/>
      <c r="AD70"/>
      <c r="AE70"/>
      <c r="AF70"/>
      <c r="AG70"/>
      <c r="AH70"/>
      <c r="AI70"/>
    </row>
    <row r="71" spans="1:35" s="33" customFormat="1" ht="15.75">
      <c r="A71" s="175"/>
      <c r="B71" s="163"/>
      <c r="C71" s="123"/>
      <c r="D71" s="123"/>
      <c r="E71" s="32"/>
      <c r="F71"/>
      <c r="G71"/>
      <c r="H71"/>
      <c r="I71"/>
      <c r="J71"/>
      <c r="K71"/>
      <c r="L71"/>
      <c r="M71"/>
      <c r="N71"/>
      <c r="O71"/>
      <c r="P71"/>
      <c r="Q71"/>
      <c r="R71"/>
      <c r="S71"/>
      <c r="T71"/>
      <c r="U71"/>
      <c r="V71"/>
      <c r="W71"/>
      <c r="X71"/>
      <c r="Y71"/>
      <c r="Z71"/>
      <c r="AA71"/>
      <c r="AB71"/>
      <c r="AC71"/>
      <c r="AD71"/>
      <c r="AE71"/>
      <c r="AF71"/>
      <c r="AG71"/>
      <c r="AH71"/>
      <c r="AI71"/>
    </row>
    <row r="72" spans="1:35" s="33" customFormat="1" ht="15.75">
      <c r="A72" s="175"/>
      <c r="B72" s="163"/>
      <c r="C72" s="123"/>
      <c r="D72" s="123"/>
      <c r="E72" s="32"/>
      <c r="F72"/>
      <c r="G72"/>
      <c r="H72"/>
      <c r="I72"/>
      <c r="J72"/>
      <c r="K72"/>
      <c r="L72"/>
      <c r="M72"/>
      <c r="N72"/>
      <c r="O72"/>
      <c r="P72"/>
      <c r="Q72"/>
      <c r="R72"/>
      <c r="S72"/>
      <c r="T72"/>
      <c r="U72"/>
      <c r="V72"/>
      <c r="W72"/>
      <c r="X72"/>
      <c r="Y72"/>
      <c r="Z72"/>
      <c r="AA72"/>
      <c r="AB72"/>
      <c r="AC72"/>
      <c r="AD72"/>
      <c r="AE72"/>
      <c r="AF72"/>
      <c r="AG72"/>
      <c r="AH72"/>
      <c r="AI72"/>
    </row>
    <row r="73" spans="1:35" s="33" customFormat="1" ht="15.75">
      <c r="A73" s="175"/>
      <c r="B73" s="163"/>
      <c r="C73" s="123"/>
      <c r="D73" s="123"/>
      <c r="E73" s="32"/>
      <c r="F73"/>
      <c r="G73"/>
      <c r="H73"/>
      <c r="I73"/>
      <c r="J73"/>
      <c r="K73"/>
      <c r="L73"/>
      <c r="M73"/>
      <c r="N73"/>
      <c r="O73"/>
      <c r="P73"/>
      <c r="Q73"/>
      <c r="R73"/>
      <c r="S73"/>
      <c r="T73"/>
      <c r="U73"/>
      <c r="V73"/>
      <c r="W73"/>
      <c r="X73"/>
      <c r="Y73"/>
      <c r="Z73"/>
      <c r="AA73"/>
      <c r="AB73"/>
      <c r="AC73"/>
      <c r="AD73"/>
      <c r="AE73"/>
      <c r="AF73"/>
      <c r="AG73"/>
      <c r="AH73"/>
      <c r="AI73"/>
    </row>
    <row r="74" spans="1:35" s="33" customFormat="1" ht="15.75">
      <c r="A74" s="175"/>
      <c r="B74" s="163"/>
      <c r="C74" s="123"/>
      <c r="D74" s="123"/>
      <c r="E74" s="32"/>
      <c r="F74"/>
      <c r="G74"/>
      <c r="H74"/>
      <c r="I74"/>
      <c r="J74"/>
      <c r="K74"/>
      <c r="L74"/>
      <c r="M74"/>
      <c r="N74"/>
      <c r="O74"/>
      <c r="P74"/>
      <c r="Q74"/>
      <c r="R74"/>
      <c r="S74"/>
      <c r="T74"/>
      <c r="U74"/>
      <c r="V74"/>
      <c r="W74"/>
      <c r="X74"/>
      <c r="Y74"/>
      <c r="Z74"/>
      <c r="AA74"/>
      <c r="AB74"/>
      <c r="AC74"/>
      <c r="AD74"/>
      <c r="AE74"/>
      <c r="AF74"/>
      <c r="AG74"/>
      <c r="AH74"/>
      <c r="AI74"/>
    </row>
    <row r="75" spans="1:35" s="33" customFormat="1" ht="15.75">
      <c r="A75" s="175"/>
      <c r="B75" s="163"/>
      <c r="C75" s="123"/>
      <c r="D75" s="123"/>
      <c r="E75" s="32"/>
      <c r="F75"/>
      <c r="G75"/>
      <c r="H75"/>
      <c r="I75"/>
      <c r="J75"/>
      <c r="K75"/>
      <c r="L75"/>
      <c r="M75"/>
      <c r="N75"/>
      <c r="O75"/>
      <c r="P75"/>
      <c r="Q75"/>
      <c r="R75"/>
      <c r="S75"/>
      <c r="T75"/>
      <c r="U75"/>
      <c r="V75"/>
      <c r="W75"/>
      <c r="X75"/>
      <c r="Y75"/>
      <c r="Z75"/>
      <c r="AA75"/>
      <c r="AB75"/>
      <c r="AC75"/>
      <c r="AD75"/>
      <c r="AE75"/>
      <c r="AF75"/>
      <c r="AG75"/>
      <c r="AH75"/>
      <c r="AI75"/>
    </row>
    <row r="76" spans="1:35" s="33" customFormat="1" ht="15.75">
      <c r="A76" s="175"/>
      <c r="B76" s="163"/>
      <c r="C76" s="123"/>
      <c r="D76" s="123"/>
      <c r="E76" s="32"/>
      <c r="F76"/>
      <c r="G76"/>
      <c r="H76"/>
      <c r="I76"/>
      <c r="J76"/>
      <c r="K76"/>
      <c r="L76"/>
      <c r="M76"/>
      <c r="N76"/>
      <c r="O76"/>
      <c r="P76"/>
      <c r="Q76"/>
      <c r="R76"/>
      <c r="S76"/>
      <c r="T76"/>
      <c r="U76"/>
      <c r="V76"/>
      <c r="W76"/>
      <c r="X76"/>
      <c r="Y76"/>
      <c r="Z76"/>
      <c r="AA76"/>
      <c r="AB76"/>
      <c r="AC76"/>
      <c r="AD76"/>
      <c r="AE76"/>
      <c r="AF76"/>
      <c r="AG76"/>
      <c r="AH76"/>
      <c r="AI76"/>
    </row>
    <row r="77" spans="1:35" s="33" customFormat="1" ht="15.75">
      <c r="A77" s="175"/>
      <c r="B77" s="163"/>
      <c r="C77" s="123"/>
      <c r="D77" s="123"/>
      <c r="E77" s="32"/>
      <c r="F77"/>
      <c r="G77"/>
      <c r="H77"/>
      <c r="I77"/>
      <c r="J77"/>
      <c r="K77"/>
      <c r="L77"/>
      <c r="M77"/>
      <c r="N77"/>
      <c r="O77"/>
      <c r="P77"/>
      <c r="Q77"/>
      <c r="R77"/>
      <c r="S77"/>
      <c r="T77"/>
      <c r="U77"/>
      <c r="V77"/>
      <c r="W77"/>
      <c r="X77"/>
      <c r="Y77"/>
      <c r="Z77"/>
      <c r="AA77"/>
      <c r="AB77"/>
      <c r="AC77"/>
      <c r="AD77"/>
      <c r="AE77"/>
      <c r="AF77"/>
      <c r="AG77"/>
      <c r="AH77"/>
      <c r="AI77"/>
    </row>
    <row r="78" spans="1:35" s="33" customFormat="1" ht="15.75">
      <c r="A78" s="175"/>
      <c r="B78" s="163"/>
      <c r="C78" s="123"/>
      <c r="D78" s="123"/>
      <c r="E78" s="32"/>
      <c r="F78"/>
      <c r="G78"/>
      <c r="H78"/>
      <c r="I78"/>
      <c r="J78"/>
      <c r="K78"/>
      <c r="L78"/>
      <c r="M78"/>
      <c r="N78"/>
      <c r="O78"/>
      <c r="P78"/>
      <c r="Q78"/>
      <c r="R78"/>
      <c r="S78"/>
      <c r="T78"/>
      <c r="U78"/>
      <c r="V78"/>
      <c r="W78"/>
      <c r="X78"/>
      <c r="Y78"/>
      <c r="Z78"/>
      <c r="AA78"/>
      <c r="AB78"/>
      <c r="AC78"/>
      <c r="AD78"/>
      <c r="AE78"/>
      <c r="AF78"/>
      <c r="AG78"/>
      <c r="AH78"/>
      <c r="AI78"/>
    </row>
    <row r="79" spans="1:35" s="33" customFormat="1" ht="15.75">
      <c r="A79" s="175"/>
      <c r="B79" s="163"/>
      <c r="C79" s="123"/>
      <c r="D79" s="123"/>
      <c r="E79" s="32"/>
      <c r="F79"/>
      <c r="G79"/>
      <c r="H79"/>
      <c r="I79"/>
      <c r="J79"/>
      <c r="K79"/>
      <c r="L79"/>
      <c r="M79"/>
      <c r="N79"/>
      <c r="O79"/>
      <c r="P79"/>
      <c r="Q79"/>
      <c r="R79"/>
      <c r="S79"/>
      <c r="T79"/>
      <c r="U79"/>
      <c r="V79"/>
      <c r="W79"/>
      <c r="X79"/>
      <c r="Y79"/>
      <c r="Z79"/>
      <c r="AA79"/>
      <c r="AB79"/>
      <c r="AC79"/>
      <c r="AD79"/>
      <c r="AE79"/>
      <c r="AF79"/>
      <c r="AG79"/>
      <c r="AH79"/>
      <c r="AI79"/>
    </row>
    <row r="80" spans="1:35" s="33" customFormat="1" ht="15.75">
      <c r="A80" s="175"/>
      <c r="B80" s="163"/>
      <c r="C80" s="123"/>
      <c r="D80" s="123"/>
      <c r="E80" s="32"/>
      <c r="F80"/>
      <c r="G80"/>
      <c r="H80"/>
      <c r="I80"/>
      <c r="J80"/>
      <c r="K80"/>
      <c r="L80"/>
      <c r="M80"/>
      <c r="N80"/>
      <c r="O80"/>
      <c r="P80"/>
      <c r="Q80"/>
      <c r="R80"/>
      <c r="S80"/>
      <c r="T80"/>
      <c r="U80"/>
      <c r="V80"/>
      <c r="W80"/>
      <c r="X80"/>
      <c r="Y80"/>
      <c r="Z80"/>
      <c r="AA80"/>
      <c r="AB80"/>
      <c r="AC80"/>
      <c r="AD80"/>
      <c r="AE80"/>
      <c r="AF80"/>
      <c r="AG80"/>
      <c r="AH80"/>
      <c r="AI80"/>
    </row>
    <row r="81" spans="1:35" s="33" customFormat="1" ht="15.75">
      <c r="A81" s="175"/>
      <c r="B81" s="163"/>
      <c r="C81" s="123"/>
      <c r="D81" s="123"/>
      <c r="E81" s="32"/>
      <c r="F81"/>
      <c r="G81"/>
      <c r="H81"/>
      <c r="I81"/>
      <c r="J81"/>
      <c r="K81"/>
      <c r="L81"/>
      <c r="M81"/>
      <c r="N81"/>
      <c r="O81"/>
      <c r="P81"/>
      <c r="Q81"/>
      <c r="R81"/>
      <c r="S81"/>
      <c r="T81"/>
      <c r="U81"/>
      <c r="V81"/>
      <c r="W81"/>
      <c r="X81"/>
      <c r="Y81"/>
      <c r="Z81"/>
      <c r="AA81"/>
      <c r="AB81"/>
      <c r="AC81"/>
      <c r="AD81"/>
      <c r="AE81"/>
      <c r="AF81"/>
      <c r="AG81"/>
      <c r="AH81"/>
      <c r="AI81"/>
    </row>
    <row r="82" spans="1:35" s="33" customFormat="1" ht="15.75">
      <c r="A82" s="175"/>
      <c r="B82" s="163"/>
      <c r="C82" s="123"/>
      <c r="D82" s="123"/>
      <c r="E82" s="32"/>
      <c r="F82"/>
      <c r="G82"/>
      <c r="H82"/>
      <c r="I82"/>
      <c r="J82"/>
      <c r="K82"/>
      <c r="L82"/>
      <c r="M82"/>
      <c r="N82"/>
      <c r="O82"/>
      <c r="P82"/>
      <c r="Q82"/>
      <c r="R82"/>
      <c r="S82"/>
      <c r="T82"/>
      <c r="U82"/>
      <c r="V82"/>
      <c r="W82"/>
      <c r="X82"/>
      <c r="Y82"/>
      <c r="Z82"/>
      <c r="AA82"/>
      <c r="AB82"/>
      <c r="AC82"/>
      <c r="AD82"/>
      <c r="AE82"/>
      <c r="AF82"/>
      <c r="AG82"/>
      <c r="AH82"/>
      <c r="AI82"/>
    </row>
    <row r="83" spans="1:35" s="33" customFormat="1" ht="15.75">
      <c r="A83" s="175"/>
      <c r="B83" s="163"/>
      <c r="C83" s="123"/>
      <c r="D83" s="123"/>
      <c r="E83" s="32"/>
      <c r="F83"/>
      <c r="G83"/>
      <c r="H83"/>
      <c r="I83"/>
      <c r="J83"/>
      <c r="K83"/>
      <c r="L83"/>
      <c r="M83"/>
      <c r="N83"/>
      <c r="O83"/>
      <c r="P83"/>
      <c r="Q83"/>
      <c r="R83"/>
      <c r="S83"/>
      <c r="T83"/>
      <c r="U83"/>
      <c r="V83"/>
      <c r="W83"/>
      <c r="X83"/>
      <c r="Y83"/>
      <c r="Z83"/>
      <c r="AA83"/>
      <c r="AB83"/>
      <c r="AC83"/>
      <c r="AD83"/>
      <c r="AE83"/>
      <c r="AF83"/>
      <c r="AG83"/>
      <c r="AH83"/>
      <c r="AI83"/>
    </row>
    <row r="84" spans="1:35" s="33" customFormat="1" ht="15.75">
      <c r="A84" s="175"/>
      <c r="B84" s="163"/>
      <c r="C84" s="123"/>
      <c r="D84" s="123"/>
      <c r="E84" s="32"/>
      <c r="F84"/>
      <c r="G84"/>
      <c r="H84"/>
      <c r="I84"/>
      <c r="J84"/>
      <c r="K84"/>
      <c r="L84"/>
      <c r="M84"/>
      <c r="N84"/>
      <c r="O84"/>
      <c r="P84"/>
      <c r="Q84"/>
      <c r="R84"/>
      <c r="S84"/>
      <c r="T84"/>
      <c r="U84"/>
      <c r="V84"/>
      <c r="W84"/>
      <c r="X84"/>
      <c r="Y84"/>
      <c r="Z84"/>
      <c r="AA84"/>
      <c r="AB84"/>
      <c r="AC84"/>
      <c r="AD84"/>
      <c r="AE84"/>
      <c r="AF84"/>
      <c r="AG84"/>
      <c r="AH84"/>
      <c r="AI84"/>
    </row>
    <row r="85" spans="1:35" s="33" customFormat="1" ht="15.75">
      <c r="A85" s="175"/>
      <c r="B85" s="163"/>
      <c r="C85" s="123"/>
      <c r="D85" s="123"/>
      <c r="E85" s="32"/>
      <c r="F85"/>
      <c r="G85"/>
      <c r="H85"/>
      <c r="I85"/>
      <c r="J85"/>
      <c r="K85"/>
      <c r="L85"/>
      <c r="M85"/>
      <c r="N85"/>
      <c r="O85"/>
      <c r="P85"/>
      <c r="Q85"/>
      <c r="R85"/>
      <c r="S85"/>
      <c r="T85"/>
      <c r="U85"/>
      <c r="V85"/>
      <c r="W85"/>
      <c r="X85"/>
      <c r="Y85"/>
      <c r="Z85"/>
      <c r="AA85"/>
      <c r="AB85"/>
      <c r="AC85"/>
      <c r="AD85"/>
      <c r="AE85"/>
      <c r="AF85"/>
      <c r="AG85"/>
      <c r="AH85"/>
      <c r="AI85"/>
    </row>
    <row r="86" spans="1:35" s="33" customFormat="1" ht="15.75">
      <c r="A86" s="175"/>
      <c r="B86" s="163"/>
      <c r="C86" s="123"/>
      <c r="D86" s="123"/>
      <c r="E86" s="32"/>
      <c r="F86"/>
      <c r="G86"/>
      <c r="H86"/>
      <c r="I86"/>
      <c r="J86"/>
      <c r="K86"/>
      <c r="L86"/>
      <c r="M86"/>
      <c r="N86"/>
      <c r="O86"/>
      <c r="P86"/>
      <c r="Q86"/>
      <c r="R86"/>
      <c r="S86"/>
      <c r="T86"/>
      <c r="U86"/>
      <c r="V86"/>
      <c r="W86"/>
      <c r="X86"/>
      <c r="Y86"/>
      <c r="Z86"/>
      <c r="AA86"/>
      <c r="AB86"/>
      <c r="AC86"/>
      <c r="AD86"/>
      <c r="AE86"/>
      <c r="AF86"/>
      <c r="AG86"/>
      <c r="AH86"/>
      <c r="AI86"/>
    </row>
    <row r="87" spans="1:35" s="33" customFormat="1" ht="15.75">
      <c r="A87" s="175"/>
      <c r="B87" s="163"/>
      <c r="C87" s="123"/>
      <c r="D87" s="123"/>
      <c r="E87" s="32"/>
      <c r="F87"/>
      <c r="G87"/>
      <c r="H87"/>
      <c r="I87"/>
      <c r="J87"/>
      <c r="K87"/>
      <c r="L87"/>
      <c r="M87"/>
      <c r="N87"/>
      <c r="O87"/>
      <c r="P87"/>
      <c r="Q87"/>
      <c r="R87"/>
      <c r="S87"/>
      <c r="T87"/>
      <c r="U87"/>
      <c r="V87"/>
      <c r="W87"/>
      <c r="X87"/>
      <c r="Y87"/>
      <c r="Z87"/>
      <c r="AA87"/>
      <c r="AB87"/>
      <c r="AC87"/>
      <c r="AD87"/>
      <c r="AE87"/>
      <c r="AF87"/>
      <c r="AG87"/>
      <c r="AH87"/>
      <c r="AI87"/>
    </row>
    <row r="88" spans="1:35" s="33" customFormat="1" ht="15.75">
      <c r="A88" s="175"/>
      <c r="B88" s="163"/>
      <c r="C88" s="123"/>
      <c r="D88" s="123"/>
      <c r="E88" s="32"/>
      <c r="F88"/>
      <c r="G88"/>
      <c r="H88"/>
      <c r="I88"/>
      <c r="J88"/>
      <c r="K88"/>
      <c r="L88"/>
      <c r="M88"/>
      <c r="N88"/>
      <c r="O88"/>
      <c r="P88"/>
      <c r="Q88"/>
      <c r="R88"/>
      <c r="S88"/>
      <c r="T88"/>
      <c r="U88"/>
      <c r="V88"/>
      <c r="W88"/>
      <c r="X88"/>
      <c r="Y88"/>
      <c r="Z88"/>
      <c r="AA88"/>
      <c r="AB88"/>
      <c r="AC88"/>
      <c r="AD88"/>
      <c r="AE88"/>
      <c r="AF88"/>
      <c r="AG88"/>
      <c r="AH88"/>
      <c r="AI88"/>
    </row>
    <row r="89" spans="1:35" s="33" customFormat="1" ht="15.75">
      <c r="A89" s="175"/>
      <c r="B89" s="163"/>
      <c r="C89" s="123"/>
      <c r="D89" s="123"/>
      <c r="E89" s="32"/>
      <c r="F89"/>
      <c r="G89"/>
      <c r="H89"/>
      <c r="I89"/>
      <c r="J89"/>
      <c r="K89"/>
      <c r="L89"/>
      <c r="M89"/>
      <c r="N89"/>
      <c r="O89"/>
      <c r="P89"/>
      <c r="Q89"/>
      <c r="R89"/>
      <c r="S89"/>
      <c r="T89"/>
      <c r="U89"/>
      <c r="V89"/>
      <c r="W89"/>
      <c r="X89"/>
      <c r="Y89"/>
      <c r="Z89"/>
      <c r="AA89"/>
      <c r="AB89"/>
      <c r="AC89"/>
      <c r="AD89"/>
      <c r="AE89"/>
      <c r="AF89"/>
      <c r="AG89"/>
      <c r="AH89"/>
      <c r="AI89"/>
    </row>
    <row r="90" spans="1:35" s="33" customFormat="1" ht="15.75">
      <c r="A90" s="175"/>
      <c r="B90" s="163"/>
      <c r="C90" s="123"/>
      <c r="D90" s="123"/>
      <c r="E90" s="32"/>
      <c r="F90"/>
      <c r="G90"/>
      <c r="H90"/>
      <c r="I90"/>
      <c r="J90"/>
      <c r="K90"/>
      <c r="L90"/>
      <c r="M90"/>
      <c r="N90"/>
      <c r="O90"/>
      <c r="P90"/>
      <c r="Q90"/>
      <c r="R90"/>
      <c r="S90"/>
      <c r="T90"/>
      <c r="U90"/>
      <c r="V90"/>
      <c r="W90"/>
      <c r="X90"/>
      <c r="Y90"/>
      <c r="Z90"/>
      <c r="AA90"/>
      <c r="AB90"/>
      <c r="AC90"/>
      <c r="AD90"/>
      <c r="AE90"/>
      <c r="AF90"/>
      <c r="AG90"/>
      <c r="AH90"/>
      <c r="AI90"/>
    </row>
    <row r="91" spans="1:35" s="33" customFormat="1" ht="15.75">
      <c r="A91" s="175"/>
      <c r="B91" s="163"/>
      <c r="C91" s="123"/>
      <c r="D91" s="123"/>
      <c r="E91" s="32"/>
      <c r="F91"/>
      <c r="G91"/>
      <c r="H91"/>
      <c r="I91"/>
      <c r="J91"/>
      <c r="K91"/>
      <c r="L91"/>
      <c r="M91"/>
      <c r="N91"/>
      <c r="O91"/>
      <c r="P91"/>
      <c r="Q91"/>
      <c r="R91"/>
      <c r="S91"/>
      <c r="T91"/>
      <c r="U91"/>
      <c r="V91"/>
      <c r="W91"/>
      <c r="X91"/>
      <c r="Y91"/>
      <c r="Z91"/>
      <c r="AA91"/>
      <c r="AB91"/>
      <c r="AC91"/>
      <c r="AD91"/>
      <c r="AE91"/>
      <c r="AF91"/>
      <c r="AG91"/>
      <c r="AH91"/>
      <c r="AI91"/>
    </row>
    <row r="92" spans="1:35" s="33" customFormat="1" ht="15.75">
      <c r="A92" s="175"/>
      <c r="B92" s="163"/>
      <c r="C92" s="123"/>
      <c r="D92" s="123"/>
      <c r="E92" s="32"/>
      <c r="F92"/>
      <c r="G92"/>
      <c r="H92"/>
      <c r="I92"/>
      <c r="J92"/>
      <c r="K92"/>
      <c r="L92"/>
      <c r="M92"/>
      <c r="N92"/>
      <c r="O92"/>
      <c r="P92"/>
      <c r="Q92"/>
      <c r="R92"/>
      <c r="S92"/>
      <c r="T92"/>
      <c r="U92"/>
      <c r="V92"/>
      <c r="W92"/>
      <c r="X92"/>
      <c r="Y92"/>
      <c r="Z92"/>
      <c r="AA92"/>
      <c r="AB92"/>
      <c r="AC92"/>
      <c r="AD92"/>
      <c r="AE92"/>
      <c r="AF92"/>
      <c r="AG92"/>
      <c r="AH92"/>
      <c r="AI92"/>
    </row>
    <row r="93" spans="1:35" s="33" customFormat="1" ht="15.75">
      <c r="A93" s="175"/>
      <c r="B93" s="163"/>
      <c r="C93" s="123"/>
      <c r="D93" s="123"/>
      <c r="E93" s="32"/>
      <c r="F93"/>
      <c r="G93"/>
      <c r="H93"/>
      <c r="I93"/>
      <c r="J93"/>
      <c r="K93"/>
      <c r="L93"/>
      <c r="M93"/>
      <c r="N93"/>
      <c r="O93"/>
      <c r="P93"/>
      <c r="Q93"/>
      <c r="R93"/>
      <c r="S93"/>
      <c r="T93"/>
      <c r="U93"/>
      <c r="V93"/>
      <c r="W93"/>
      <c r="X93"/>
      <c r="Y93"/>
      <c r="Z93"/>
      <c r="AA93"/>
      <c r="AB93"/>
      <c r="AC93"/>
      <c r="AD93"/>
      <c r="AE93"/>
      <c r="AF93"/>
      <c r="AG93"/>
      <c r="AH93"/>
      <c r="AI93"/>
    </row>
    <row r="94" spans="1:35" s="33" customFormat="1" ht="15.75">
      <c r="A94" s="175"/>
      <c r="B94" s="163"/>
      <c r="C94" s="123"/>
      <c r="D94" s="123"/>
      <c r="E94" s="32"/>
      <c r="F94"/>
      <c r="G94"/>
      <c r="H94"/>
      <c r="I94"/>
      <c r="J94"/>
      <c r="K94"/>
      <c r="L94"/>
      <c r="M94"/>
      <c r="N94"/>
      <c r="O94"/>
      <c r="P94"/>
      <c r="Q94"/>
      <c r="R94"/>
      <c r="S94"/>
      <c r="T94"/>
      <c r="U94"/>
      <c r="V94"/>
      <c r="W94"/>
      <c r="X94"/>
      <c r="Y94"/>
      <c r="Z94"/>
      <c r="AA94"/>
      <c r="AB94"/>
      <c r="AC94"/>
      <c r="AD94"/>
      <c r="AE94"/>
      <c r="AF94"/>
      <c r="AG94"/>
      <c r="AH94"/>
      <c r="AI94"/>
    </row>
    <row r="95" spans="1:35" s="33" customFormat="1" ht="15.75">
      <c r="A95" s="175"/>
      <c r="B95" s="163"/>
      <c r="C95" s="123"/>
      <c r="D95" s="123"/>
      <c r="E95" s="32"/>
      <c r="F95"/>
      <c r="G95"/>
      <c r="H95"/>
      <c r="I95"/>
      <c r="J95"/>
      <c r="K95"/>
      <c r="L95"/>
      <c r="M95"/>
      <c r="N95"/>
      <c r="O95"/>
      <c r="P95"/>
      <c r="Q95"/>
      <c r="R95"/>
      <c r="S95"/>
      <c r="T95"/>
      <c r="U95"/>
      <c r="V95"/>
      <c r="W95"/>
      <c r="X95"/>
      <c r="Y95"/>
      <c r="Z95"/>
      <c r="AA95"/>
      <c r="AB95"/>
      <c r="AC95"/>
      <c r="AD95"/>
      <c r="AE95"/>
      <c r="AF95"/>
      <c r="AG95"/>
      <c r="AH95"/>
      <c r="AI95"/>
    </row>
    <row r="96" spans="1:35" s="33" customFormat="1" ht="15.75">
      <c r="A96" s="175"/>
      <c r="B96" s="163"/>
      <c r="C96" s="123"/>
      <c r="D96" s="123"/>
      <c r="E96" s="32"/>
      <c r="F96"/>
      <c r="G96"/>
      <c r="H96"/>
      <c r="I96"/>
      <c r="J96"/>
      <c r="K96"/>
      <c r="L96"/>
      <c r="M96"/>
      <c r="N96"/>
      <c r="O96"/>
      <c r="P96"/>
      <c r="Q96"/>
      <c r="R96"/>
      <c r="S96"/>
      <c r="T96"/>
      <c r="U96"/>
      <c r="V96"/>
      <c r="W96"/>
      <c r="X96"/>
      <c r="Y96"/>
      <c r="Z96"/>
      <c r="AA96"/>
      <c r="AB96"/>
      <c r="AC96"/>
      <c r="AD96"/>
      <c r="AE96"/>
      <c r="AF96"/>
      <c r="AG96"/>
      <c r="AH96"/>
      <c r="AI96"/>
    </row>
    <row r="97" spans="1:35" s="33" customFormat="1" ht="15.75">
      <c r="A97" s="175"/>
      <c r="B97" s="163"/>
      <c r="C97" s="123"/>
      <c r="D97" s="123"/>
      <c r="E97" s="32"/>
      <c r="F97"/>
      <c r="G97"/>
      <c r="H97"/>
      <c r="I97"/>
      <c r="J97"/>
      <c r="K97"/>
      <c r="L97"/>
      <c r="M97"/>
      <c r="N97"/>
      <c r="O97"/>
      <c r="P97"/>
      <c r="Q97"/>
      <c r="R97"/>
      <c r="S97"/>
      <c r="T97"/>
      <c r="U97"/>
      <c r="V97"/>
      <c r="W97"/>
      <c r="X97"/>
      <c r="Y97"/>
      <c r="Z97"/>
      <c r="AA97"/>
      <c r="AB97"/>
      <c r="AC97"/>
      <c r="AD97"/>
      <c r="AE97"/>
      <c r="AF97"/>
      <c r="AG97"/>
      <c r="AH97"/>
      <c r="AI97"/>
    </row>
    <row r="98" spans="1:35" s="33" customFormat="1" ht="15.75">
      <c r="A98" s="175"/>
      <c r="B98" s="163"/>
      <c r="C98" s="123"/>
      <c r="D98" s="123"/>
      <c r="E98" s="32"/>
      <c r="F98"/>
      <c r="G98"/>
      <c r="H98"/>
      <c r="I98"/>
      <c r="J98"/>
      <c r="K98"/>
      <c r="L98"/>
      <c r="M98"/>
      <c r="N98"/>
      <c r="O98"/>
      <c r="P98"/>
      <c r="Q98"/>
      <c r="R98"/>
      <c r="S98"/>
      <c r="T98"/>
      <c r="U98"/>
      <c r="V98"/>
      <c r="W98"/>
      <c r="X98"/>
      <c r="Y98"/>
      <c r="Z98"/>
      <c r="AA98"/>
      <c r="AB98"/>
      <c r="AC98"/>
      <c r="AD98"/>
      <c r="AE98"/>
      <c r="AF98"/>
      <c r="AG98"/>
      <c r="AH98"/>
      <c r="AI98"/>
    </row>
    <row r="99" spans="1:35" s="33" customFormat="1" ht="15.75">
      <c r="A99" s="175"/>
      <c r="B99" s="163"/>
      <c r="C99" s="123"/>
      <c r="D99" s="123"/>
      <c r="E99" s="32"/>
      <c r="F99"/>
      <c r="G99"/>
      <c r="H99"/>
      <c r="I99"/>
      <c r="J99"/>
      <c r="K99"/>
      <c r="L99"/>
      <c r="M99"/>
      <c r="N99"/>
      <c r="O99"/>
      <c r="P99"/>
      <c r="Q99"/>
      <c r="R99"/>
      <c r="S99"/>
      <c r="T99"/>
      <c r="U99"/>
      <c r="V99"/>
      <c r="W99"/>
      <c r="X99"/>
      <c r="Y99"/>
      <c r="Z99"/>
      <c r="AA99"/>
      <c r="AB99"/>
      <c r="AC99"/>
      <c r="AD99"/>
      <c r="AE99"/>
      <c r="AF99"/>
      <c r="AG99"/>
      <c r="AH99"/>
      <c r="AI99"/>
    </row>
    <row r="100" spans="1:35" s="33" customFormat="1" ht="15.75">
      <c r="A100" s="175"/>
      <c r="B100" s="163"/>
      <c r="C100" s="123"/>
      <c r="D100" s="123"/>
      <c r="E100" s="32"/>
      <c r="F100"/>
      <c r="G100"/>
      <c r="H100"/>
      <c r="I100"/>
      <c r="J100"/>
      <c r="K100"/>
      <c r="L100"/>
      <c r="M100"/>
      <c r="N100"/>
      <c r="O100"/>
      <c r="P100"/>
      <c r="Q100"/>
      <c r="R100"/>
      <c r="S100"/>
      <c r="T100"/>
      <c r="U100"/>
      <c r="V100"/>
      <c r="W100"/>
      <c r="X100"/>
      <c r="Y100"/>
      <c r="Z100"/>
      <c r="AA100"/>
      <c r="AB100"/>
      <c r="AC100"/>
      <c r="AD100"/>
      <c r="AE100"/>
      <c r="AF100"/>
      <c r="AG100"/>
      <c r="AH100"/>
      <c r="AI100"/>
    </row>
    <row r="101" spans="1:35" s="33" customFormat="1" ht="15.75">
      <c r="A101" s="175"/>
      <c r="B101" s="163"/>
      <c r="C101" s="123"/>
      <c r="D101" s="123"/>
      <c r="E101" s="32"/>
      <c r="F101"/>
      <c r="G101"/>
      <c r="H101"/>
      <c r="I101"/>
      <c r="J101"/>
      <c r="K101"/>
      <c r="L101"/>
      <c r="M101"/>
      <c r="N101"/>
      <c r="O101"/>
      <c r="P101"/>
      <c r="Q101"/>
      <c r="R101"/>
      <c r="S101"/>
      <c r="T101"/>
      <c r="U101"/>
      <c r="V101"/>
      <c r="W101"/>
      <c r="X101"/>
      <c r="Y101"/>
      <c r="Z101"/>
      <c r="AA101"/>
      <c r="AB101"/>
      <c r="AC101"/>
      <c r="AD101"/>
      <c r="AE101"/>
      <c r="AF101"/>
      <c r="AG101"/>
      <c r="AH101"/>
      <c r="AI101"/>
    </row>
    <row r="102" spans="1:35" s="33" customFormat="1" ht="15.75">
      <c r="A102" s="175"/>
      <c r="B102" s="163"/>
      <c r="C102" s="123"/>
      <c r="D102" s="123"/>
      <c r="E102" s="32"/>
      <c r="F102"/>
      <c r="G102"/>
      <c r="H102"/>
      <c r="I102"/>
      <c r="J102"/>
      <c r="K102"/>
      <c r="L102"/>
      <c r="M102"/>
      <c r="N102"/>
      <c r="O102"/>
      <c r="P102"/>
      <c r="Q102"/>
      <c r="R102"/>
      <c r="S102"/>
      <c r="T102"/>
      <c r="U102"/>
      <c r="V102"/>
      <c r="W102"/>
      <c r="X102"/>
      <c r="Y102"/>
      <c r="Z102"/>
      <c r="AA102"/>
      <c r="AB102"/>
      <c r="AC102"/>
      <c r="AD102"/>
      <c r="AE102"/>
      <c r="AF102"/>
      <c r="AG102"/>
      <c r="AH102"/>
      <c r="AI102"/>
    </row>
    <row r="103" spans="1:35" s="33" customFormat="1" ht="15.75">
      <c r="A103" s="175"/>
      <c r="B103" s="163"/>
      <c r="C103" s="123"/>
      <c r="D103" s="123"/>
      <c r="E103" s="32"/>
      <c r="F103"/>
      <c r="G103"/>
      <c r="H103"/>
      <c r="I103"/>
      <c r="J103"/>
      <c r="K103"/>
      <c r="L103"/>
      <c r="M103"/>
      <c r="N103"/>
      <c r="O103"/>
      <c r="P103"/>
      <c r="Q103"/>
      <c r="R103"/>
      <c r="S103"/>
      <c r="T103"/>
      <c r="U103"/>
      <c r="V103"/>
      <c r="W103"/>
      <c r="X103"/>
      <c r="Y103"/>
      <c r="Z103"/>
      <c r="AA103"/>
      <c r="AB103"/>
      <c r="AC103"/>
      <c r="AD103"/>
      <c r="AE103"/>
      <c r="AF103"/>
      <c r="AG103"/>
      <c r="AH103"/>
      <c r="AI103"/>
    </row>
    <row r="104" spans="1:35" s="33" customFormat="1" ht="15.75">
      <c r="A104" s="175"/>
      <c r="B104" s="163"/>
      <c r="C104" s="123"/>
      <c r="D104" s="123"/>
      <c r="E104" s="32"/>
      <c r="F104"/>
      <c r="G104"/>
      <c r="H104"/>
      <c r="I104"/>
      <c r="J104"/>
      <c r="K104"/>
      <c r="L104"/>
      <c r="M104"/>
      <c r="N104"/>
      <c r="O104"/>
      <c r="P104"/>
      <c r="Q104"/>
      <c r="R104"/>
      <c r="S104"/>
      <c r="T104"/>
      <c r="U104"/>
      <c r="V104"/>
      <c r="W104"/>
      <c r="X104"/>
      <c r="Y104"/>
      <c r="Z104"/>
      <c r="AA104"/>
      <c r="AB104"/>
      <c r="AC104"/>
      <c r="AD104"/>
      <c r="AE104"/>
      <c r="AF104"/>
      <c r="AG104"/>
      <c r="AH104"/>
      <c r="AI104"/>
    </row>
    <row r="105" spans="1:35" s="33" customFormat="1" ht="15.75">
      <c r="A105" s="175"/>
      <c r="B105" s="163"/>
      <c r="C105" s="123"/>
      <c r="D105" s="123"/>
      <c r="E105" s="32"/>
      <c r="F105"/>
      <c r="G105"/>
      <c r="H105"/>
      <c r="I105"/>
      <c r="J105"/>
      <c r="K105"/>
      <c r="L105"/>
      <c r="M105"/>
      <c r="N105"/>
      <c r="O105"/>
      <c r="P105"/>
      <c r="Q105"/>
      <c r="R105"/>
      <c r="S105"/>
      <c r="T105"/>
      <c r="U105"/>
      <c r="V105"/>
      <c r="W105"/>
      <c r="X105"/>
      <c r="Y105"/>
      <c r="Z105"/>
      <c r="AA105"/>
      <c r="AB105"/>
      <c r="AC105"/>
      <c r="AD105"/>
      <c r="AE105"/>
      <c r="AF105"/>
      <c r="AG105"/>
      <c r="AH105"/>
      <c r="AI105"/>
    </row>
    <row r="106" spans="1:35" s="33" customFormat="1" ht="15.75">
      <c r="A106" s="175"/>
      <c r="B106" s="163"/>
      <c r="C106" s="123"/>
      <c r="D106" s="123"/>
      <c r="E106" s="32"/>
      <c r="F106"/>
      <c r="G106"/>
      <c r="H106"/>
      <c r="I106"/>
      <c r="J106"/>
      <c r="K106"/>
      <c r="L106"/>
      <c r="M106"/>
      <c r="N106"/>
      <c r="O106"/>
      <c r="P106"/>
      <c r="Q106"/>
      <c r="R106"/>
      <c r="S106"/>
      <c r="T106"/>
      <c r="U106"/>
      <c r="V106"/>
      <c r="W106"/>
      <c r="X106"/>
      <c r="Y106"/>
      <c r="Z106"/>
      <c r="AA106"/>
      <c r="AB106"/>
      <c r="AC106"/>
      <c r="AD106"/>
      <c r="AE106"/>
      <c r="AF106"/>
      <c r="AG106"/>
      <c r="AH106"/>
      <c r="AI106"/>
    </row>
    <row r="107" spans="1:35" s="33" customFormat="1" ht="15.75">
      <c r="A107" s="175"/>
      <c r="B107" s="163"/>
      <c r="C107" s="123"/>
      <c r="D107" s="123"/>
      <c r="E107" s="32"/>
      <c r="F107"/>
      <c r="G107"/>
      <c r="H107"/>
      <c r="I107"/>
      <c r="J107"/>
      <c r="K107"/>
      <c r="L107"/>
      <c r="M107"/>
      <c r="N107"/>
      <c r="O107"/>
      <c r="P107"/>
      <c r="Q107"/>
      <c r="R107"/>
      <c r="S107"/>
      <c r="T107"/>
      <c r="U107"/>
      <c r="V107"/>
      <c r="W107"/>
      <c r="X107"/>
      <c r="Y107"/>
      <c r="Z107"/>
      <c r="AA107"/>
      <c r="AB107"/>
      <c r="AC107"/>
      <c r="AD107"/>
      <c r="AE107"/>
      <c r="AF107"/>
      <c r="AG107"/>
      <c r="AH107"/>
      <c r="AI107"/>
    </row>
    <row r="108" spans="1:35" s="33" customFormat="1" ht="15.75">
      <c r="A108" s="175"/>
      <c r="B108" s="163"/>
      <c r="C108" s="123"/>
      <c r="D108" s="123"/>
      <c r="E108" s="32"/>
      <c r="F108"/>
      <c r="G108"/>
      <c r="H108"/>
      <c r="I108"/>
      <c r="J108"/>
      <c r="K108"/>
      <c r="L108"/>
      <c r="M108"/>
      <c r="N108"/>
      <c r="O108"/>
      <c r="P108"/>
      <c r="Q108"/>
      <c r="R108"/>
      <c r="S108"/>
      <c r="T108"/>
      <c r="U108"/>
      <c r="V108"/>
      <c r="W108"/>
      <c r="X108"/>
      <c r="Y108"/>
      <c r="Z108"/>
      <c r="AA108"/>
      <c r="AB108"/>
      <c r="AC108"/>
      <c r="AD108"/>
      <c r="AE108"/>
      <c r="AF108"/>
      <c r="AG108"/>
      <c r="AH108"/>
      <c r="AI108"/>
    </row>
    <row r="109" spans="1:35" s="33" customFormat="1" ht="15.75">
      <c r="A109" s="175"/>
      <c r="B109" s="163"/>
      <c r="C109" s="123"/>
      <c r="D109" s="123"/>
      <c r="E109" s="32"/>
      <c r="F109"/>
      <c r="G109"/>
      <c r="H109"/>
      <c r="I109"/>
      <c r="J109"/>
      <c r="K109"/>
      <c r="L109"/>
      <c r="M109"/>
      <c r="N109"/>
      <c r="O109"/>
      <c r="P109"/>
      <c r="Q109"/>
      <c r="R109"/>
      <c r="S109"/>
      <c r="T109"/>
      <c r="U109"/>
      <c r="V109"/>
      <c r="W109"/>
      <c r="X109"/>
      <c r="Y109"/>
      <c r="Z109"/>
      <c r="AA109"/>
      <c r="AB109"/>
      <c r="AC109"/>
      <c r="AD109"/>
      <c r="AE109"/>
      <c r="AF109"/>
      <c r="AG109"/>
      <c r="AH109"/>
      <c r="AI109"/>
    </row>
    <row r="110" spans="1:35" s="33" customFormat="1" ht="15.75">
      <c r="A110" s="175"/>
      <c r="B110" s="163"/>
      <c r="C110" s="123"/>
      <c r="D110" s="123"/>
      <c r="E110" s="32"/>
      <c r="F110"/>
      <c r="G110"/>
      <c r="H110"/>
      <c r="I110"/>
      <c r="J110"/>
      <c r="K110"/>
      <c r="L110"/>
      <c r="M110"/>
      <c r="N110"/>
      <c r="O110"/>
      <c r="P110"/>
      <c r="Q110"/>
      <c r="R110"/>
      <c r="S110"/>
      <c r="T110"/>
      <c r="U110"/>
      <c r="V110"/>
      <c r="W110"/>
      <c r="X110"/>
      <c r="Y110"/>
      <c r="Z110"/>
      <c r="AA110"/>
      <c r="AB110"/>
      <c r="AC110"/>
      <c r="AD110"/>
      <c r="AE110"/>
      <c r="AF110"/>
      <c r="AG110"/>
      <c r="AH110"/>
      <c r="AI110"/>
    </row>
    <row r="111" spans="1:35" s="33" customFormat="1" ht="15.75">
      <c r="A111" s="175"/>
      <c r="B111" s="163"/>
      <c r="C111" s="123"/>
      <c r="D111" s="123"/>
      <c r="E111" s="32"/>
      <c r="F111"/>
      <c r="G111"/>
      <c r="H111"/>
      <c r="I111"/>
      <c r="J111"/>
      <c r="K111"/>
      <c r="L111"/>
      <c r="M111"/>
      <c r="N111"/>
      <c r="O111"/>
      <c r="P111"/>
      <c r="Q111"/>
      <c r="R111"/>
      <c r="S111"/>
      <c r="T111"/>
      <c r="U111"/>
      <c r="V111"/>
      <c r="W111"/>
      <c r="X111"/>
      <c r="Y111"/>
      <c r="Z111"/>
      <c r="AA111"/>
      <c r="AB111"/>
      <c r="AC111"/>
      <c r="AD111"/>
      <c r="AE111"/>
      <c r="AF111"/>
      <c r="AG111"/>
      <c r="AH111"/>
      <c r="AI111"/>
    </row>
    <row r="112" spans="1:35" s="33" customFormat="1" ht="15.75">
      <c r="A112" s="175"/>
      <c r="B112" s="163"/>
      <c r="C112" s="123"/>
      <c r="D112" s="123"/>
      <c r="E112" s="32"/>
      <c r="F112"/>
      <c r="G112"/>
      <c r="H112"/>
      <c r="I112"/>
      <c r="J112"/>
      <c r="K112"/>
      <c r="L112"/>
      <c r="M112"/>
      <c r="N112"/>
      <c r="O112"/>
      <c r="P112"/>
      <c r="Q112"/>
      <c r="R112"/>
      <c r="S112"/>
      <c r="T112"/>
      <c r="U112"/>
      <c r="V112"/>
      <c r="W112"/>
      <c r="X112"/>
      <c r="Y112"/>
      <c r="Z112"/>
      <c r="AA112"/>
      <c r="AB112"/>
      <c r="AC112"/>
      <c r="AD112"/>
      <c r="AE112"/>
      <c r="AF112"/>
      <c r="AG112"/>
      <c r="AH112"/>
      <c r="AI112"/>
    </row>
    <row r="113" spans="1:35" s="33" customFormat="1" ht="15.75">
      <c r="A113" s="175"/>
      <c r="B113" s="163"/>
      <c r="C113" s="123"/>
      <c r="D113" s="123"/>
      <c r="E113" s="32"/>
      <c r="F113"/>
      <c r="G113"/>
      <c r="H113"/>
      <c r="I113"/>
      <c r="J113"/>
      <c r="K113"/>
      <c r="L113"/>
      <c r="M113"/>
      <c r="N113"/>
      <c r="O113"/>
      <c r="P113"/>
      <c r="Q113"/>
      <c r="R113"/>
      <c r="S113"/>
      <c r="T113"/>
      <c r="U113"/>
      <c r="V113"/>
      <c r="W113"/>
      <c r="X113"/>
      <c r="Y113"/>
      <c r="Z113"/>
      <c r="AA113"/>
      <c r="AB113"/>
      <c r="AC113"/>
      <c r="AD113"/>
      <c r="AE113"/>
      <c r="AF113"/>
      <c r="AG113"/>
      <c r="AH113"/>
      <c r="AI113"/>
    </row>
    <row r="114" spans="1:35" s="33" customFormat="1" ht="15.75">
      <c r="A114" s="175"/>
      <c r="B114" s="163"/>
      <c r="C114" s="123"/>
      <c r="D114" s="123"/>
      <c r="E114" s="32"/>
      <c r="F114"/>
      <c r="G114"/>
      <c r="H114"/>
      <c r="I114"/>
      <c r="J114"/>
      <c r="K114"/>
      <c r="L114"/>
      <c r="M114"/>
      <c r="N114"/>
      <c r="O114"/>
      <c r="P114"/>
      <c r="Q114"/>
      <c r="R114"/>
      <c r="S114"/>
      <c r="T114"/>
      <c r="U114"/>
      <c r="V114"/>
      <c r="W114"/>
      <c r="X114"/>
      <c r="Y114"/>
      <c r="Z114"/>
      <c r="AA114"/>
      <c r="AB114"/>
      <c r="AC114"/>
      <c r="AD114"/>
      <c r="AE114"/>
      <c r="AF114"/>
      <c r="AG114"/>
      <c r="AH114"/>
      <c r="AI114"/>
    </row>
    <row r="115" spans="1:35" s="33" customFormat="1" ht="15.75">
      <c r="A115" s="175"/>
      <c r="B115" s="163"/>
      <c r="C115" s="123"/>
      <c r="D115" s="123"/>
      <c r="E115" s="32"/>
      <c r="F115"/>
      <c r="G115"/>
      <c r="H115"/>
      <c r="I115"/>
      <c r="J115"/>
      <c r="K115"/>
      <c r="L115"/>
      <c r="M115"/>
      <c r="N115"/>
      <c r="O115"/>
      <c r="P115"/>
      <c r="Q115"/>
      <c r="R115"/>
      <c r="S115"/>
      <c r="T115"/>
      <c r="U115"/>
      <c r="V115"/>
      <c r="W115"/>
      <c r="X115"/>
      <c r="Y115"/>
      <c r="Z115"/>
      <c r="AA115"/>
      <c r="AB115"/>
      <c r="AC115"/>
      <c r="AD115"/>
      <c r="AE115"/>
      <c r="AF115"/>
      <c r="AG115"/>
      <c r="AH115"/>
      <c r="AI115"/>
    </row>
    <row r="116" spans="1:35" s="33" customFormat="1" ht="15.75">
      <c r="A116" s="175"/>
      <c r="B116" s="163"/>
      <c r="C116" s="123"/>
      <c r="D116" s="123"/>
      <c r="E116" s="32"/>
      <c r="F116"/>
      <c r="G116"/>
      <c r="H116"/>
      <c r="I116"/>
      <c r="J116"/>
      <c r="K116"/>
      <c r="L116"/>
      <c r="M116"/>
      <c r="N116"/>
      <c r="O116"/>
      <c r="P116"/>
      <c r="Q116"/>
      <c r="R116"/>
      <c r="S116"/>
      <c r="T116"/>
      <c r="U116"/>
      <c r="V116"/>
      <c r="W116"/>
      <c r="X116"/>
      <c r="Y116"/>
      <c r="Z116"/>
      <c r="AA116"/>
      <c r="AB116"/>
      <c r="AC116"/>
      <c r="AD116"/>
      <c r="AE116"/>
      <c r="AF116"/>
      <c r="AG116"/>
      <c r="AH116"/>
      <c r="AI116"/>
    </row>
    <row r="117" spans="1:35" s="33" customFormat="1" ht="15.75">
      <c r="A117" s="175"/>
      <c r="B117" s="163"/>
      <c r="C117" s="123"/>
      <c r="D117" s="123"/>
      <c r="E117" s="32"/>
      <c r="F117"/>
      <c r="G117"/>
      <c r="H117"/>
      <c r="I117"/>
      <c r="J117"/>
      <c r="K117"/>
      <c r="L117"/>
      <c r="M117"/>
      <c r="N117"/>
      <c r="O117"/>
      <c r="P117"/>
      <c r="Q117"/>
      <c r="R117"/>
      <c r="S117"/>
      <c r="T117"/>
      <c r="U117"/>
      <c r="V117"/>
      <c r="W117"/>
      <c r="X117"/>
      <c r="Y117"/>
      <c r="Z117"/>
      <c r="AA117"/>
      <c r="AB117"/>
      <c r="AC117"/>
      <c r="AD117"/>
      <c r="AE117"/>
      <c r="AF117"/>
      <c r="AG117"/>
      <c r="AH117"/>
      <c r="AI117"/>
    </row>
    <row r="118" spans="1:35" s="33" customFormat="1" ht="15.75">
      <c r="A118" s="175"/>
      <c r="B118" s="163"/>
      <c r="C118" s="123"/>
      <c r="D118" s="123"/>
      <c r="E118" s="32"/>
      <c r="F118"/>
      <c r="G118"/>
      <c r="H118"/>
      <c r="I118"/>
      <c r="J118"/>
      <c r="K118"/>
      <c r="L118"/>
      <c r="M118"/>
      <c r="N118"/>
      <c r="O118"/>
      <c r="P118"/>
      <c r="Q118"/>
      <c r="R118"/>
      <c r="S118"/>
      <c r="T118"/>
      <c r="U118"/>
      <c r="V118"/>
      <c r="W118"/>
      <c r="X118"/>
      <c r="Y118"/>
      <c r="Z118"/>
      <c r="AA118"/>
      <c r="AB118"/>
      <c r="AC118"/>
      <c r="AD118"/>
      <c r="AE118"/>
      <c r="AF118"/>
      <c r="AG118"/>
      <c r="AH118"/>
      <c r="AI118"/>
    </row>
    <row r="119" spans="1:35" s="33" customFormat="1" ht="15.75">
      <c r="A119" s="175"/>
      <c r="B119" s="163"/>
      <c r="C119" s="123"/>
      <c r="D119" s="123"/>
      <c r="E119" s="32"/>
      <c r="F119"/>
      <c r="G119"/>
      <c r="H119"/>
      <c r="I119"/>
      <c r="J119"/>
      <c r="K119"/>
      <c r="L119"/>
      <c r="M119"/>
      <c r="N119"/>
      <c r="O119"/>
      <c r="P119"/>
      <c r="Q119"/>
      <c r="R119"/>
      <c r="S119"/>
      <c r="T119"/>
      <c r="U119"/>
      <c r="V119"/>
      <c r="W119"/>
      <c r="X119"/>
      <c r="Y119"/>
      <c r="Z119"/>
      <c r="AA119"/>
      <c r="AB119"/>
      <c r="AC119"/>
      <c r="AD119"/>
      <c r="AE119"/>
      <c r="AF119"/>
      <c r="AG119"/>
      <c r="AH119"/>
      <c r="AI119"/>
    </row>
    <row r="120" spans="1:35" s="33" customFormat="1" ht="15.75">
      <c r="A120" s="175"/>
      <c r="B120" s="163"/>
      <c r="C120" s="123"/>
      <c r="D120" s="123"/>
      <c r="E120" s="32"/>
      <c r="F120"/>
      <c r="G120"/>
      <c r="H120"/>
      <c r="I120"/>
      <c r="J120"/>
      <c r="K120"/>
      <c r="L120"/>
      <c r="M120"/>
      <c r="N120"/>
      <c r="O120"/>
      <c r="P120"/>
      <c r="Q120"/>
      <c r="R120"/>
      <c r="S120"/>
      <c r="T120"/>
      <c r="U120"/>
      <c r="V120"/>
      <c r="W120"/>
      <c r="X120"/>
      <c r="Y120"/>
      <c r="Z120"/>
      <c r="AA120"/>
      <c r="AB120"/>
      <c r="AC120"/>
      <c r="AD120"/>
      <c r="AE120"/>
      <c r="AF120"/>
      <c r="AG120"/>
      <c r="AH120"/>
      <c r="AI120"/>
    </row>
    <row r="121" spans="1:35" s="33" customFormat="1" ht="15.75">
      <c r="A121" s="175"/>
      <c r="B121" s="163"/>
      <c r="C121" s="123"/>
      <c r="D121" s="123"/>
      <c r="E121" s="32"/>
      <c r="F121"/>
      <c r="G121"/>
      <c r="H121"/>
      <c r="I121"/>
      <c r="J121"/>
      <c r="K121"/>
      <c r="L121"/>
      <c r="M121"/>
      <c r="N121"/>
      <c r="O121"/>
      <c r="P121"/>
      <c r="Q121"/>
      <c r="R121"/>
      <c r="S121"/>
      <c r="T121"/>
      <c r="U121"/>
      <c r="V121"/>
      <c r="W121"/>
      <c r="X121"/>
      <c r="Y121"/>
      <c r="Z121"/>
      <c r="AA121"/>
      <c r="AB121"/>
      <c r="AC121"/>
      <c r="AD121"/>
      <c r="AE121"/>
      <c r="AF121"/>
      <c r="AG121"/>
      <c r="AH121"/>
      <c r="AI121"/>
    </row>
    <row r="122" spans="1:35" s="33" customFormat="1" ht="15.75">
      <c r="A122" s="175"/>
      <c r="B122" s="163"/>
      <c r="C122" s="123"/>
      <c r="D122" s="123"/>
      <c r="E122" s="32"/>
      <c r="F122"/>
      <c r="G122"/>
      <c r="H122"/>
      <c r="I122"/>
      <c r="J122"/>
      <c r="K122"/>
      <c r="L122"/>
      <c r="M122"/>
      <c r="N122"/>
      <c r="O122"/>
      <c r="P122"/>
      <c r="Q122"/>
      <c r="R122"/>
      <c r="S122"/>
      <c r="T122"/>
      <c r="U122"/>
      <c r="V122"/>
      <c r="W122"/>
      <c r="X122"/>
      <c r="Y122"/>
      <c r="Z122"/>
      <c r="AA122"/>
      <c r="AB122"/>
      <c r="AC122"/>
      <c r="AD122"/>
      <c r="AE122"/>
      <c r="AF122"/>
      <c r="AG122"/>
      <c r="AH122"/>
      <c r="AI122"/>
    </row>
    <row r="123" spans="1:35" s="33" customFormat="1" ht="15.75">
      <c r="A123" s="175"/>
      <c r="B123" s="163"/>
      <c r="C123" s="123"/>
      <c r="D123" s="123"/>
      <c r="E123" s="32"/>
      <c r="F123"/>
      <c r="G123"/>
      <c r="H123"/>
      <c r="I123"/>
      <c r="J123"/>
      <c r="K123"/>
      <c r="L123"/>
      <c r="M123"/>
      <c r="N123"/>
      <c r="O123"/>
      <c r="P123"/>
      <c r="Q123"/>
      <c r="R123"/>
      <c r="S123"/>
      <c r="T123"/>
      <c r="U123"/>
      <c r="V123"/>
      <c r="W123"/>
      <c r="X123"/>
      <c r="Y123"/>
      <c r="Z123"/>
      <c r="AA123"/>
      <c r="AB123"/>
      <c r="AC123"/>
      <c r="AD123"/>
      <c r="AE123"/>
      <c r="AF123"/>
      <c r="AG123"/>
      <c r="AH123"/>
      <c r="AI123"/>
    </row>
    <row r="124" spans="1:35" s="33" customFormat="1" ht="15.75">
      <c r="A124" s="175"/>
      <c r="B124" s="163"/>
      <c r="C124" s="123"/>
      <c r="D124" s="123"/>
      <c r="E124" s="32"/>
      <c r="F124"/>
      <c r="G124"/>
      <c r="H124"/>
      <c r="I124"/>
      <c r="J124"/>
      <c r="K124"/>
      <c r="L124"/>
      <c r="M124"/>
      <c r="N124"/>
      <c r="O124"/>
      <c r="P124"/>
      <c r="Q124"/>
      <c r="R124"/>
      <c r="S124"/>
      <c r="T124"/>
      <c r="U124"/>
      <c r="V124"/>
      <c r="W124"/>
      <c r="X124"/>
      <c r="Y124"/>
      <c r="Z124"/>
      <c r="AA124"/>
      <c r="AB124"/>
      <c r="AC124"/>
      <c r="AD124"/>
      <c r="AE124"/>
      <c r="AF124"/>
      <c r="AG124"/>
      <c r="AH124"/>
      <c r="AI124"/>
    </row>
    <row r="125" spans="1:35" s="33" customFormat="1" ht="15.75">
      <c r="A125" s="175"/>
      <c r="B125" s="163"/>
      <c r="C125" s="123"/>
      <c r="D125" s="123"/>
      <c r="E125" s="32"/>
      <c r="F125"/>
      <c r="G125"/>
      <c r="H125"/>
      <c r="I125"/>
      <c r="J125"/>
      <c r="K125"/>
      <c r="L125"/>
      <c r="M125"/>
      <c r="N125"/>
      <c r="O125"/>
      <c r="P125"/>
      <c r="Q125"/>
      <c r="R125"/>
      <c r="S125"/>
      <c r="T125"/>
      <c r="U125"/>
      <c r="V125"/>
      <c r="W125"/>
      <c r="X125"/>
      <c r="Y125"/>
      <c r="Z125"/>
      <c r="AA125"/>
      <c r="AB125"/>
      <c r="AC125"/>
      <c r="AD125"/>
      <c r="AE125"/>
      <c r="AF125"/>
      <c r="AG125"/>
      <c r="AH125"/>
      <c r="AI125"/>
    </row>
    <row r="126" spans="1:35" s="33" customFormat="1" ht="15.75">
      <c r="A126" s="175"/>
      <c r="B126" s="163"/>
      <c r="C126" s="123"/>
      <c r="D126" s="123"/>
      <c r="E126" s="32"/>
      <c r="F126"/>
      <c r="G126"/>
      <c r="H126"/>
      <c r="I126"/>
      <c r="J126"/>
      <c r="K126"/>
      <c r="L126"/>
      <c r="M126"/>
      <c r="N126"/>
      <c r="O126"/>
      <c r="P126"/>
      <c r="Q126"/>
      <c r="R126"/>
      <c r="S126"/>
      <c r="T126"/>
      <c r="U126"/>
      <c r="V126"/>
      <c r="W126"/>
      <c r="X126"/>
      <c r="Y126"/>
      <c r="Z126"/>
      <c r="AA126"/>
      <c r="AB126"/>
      <c r="AC126"/>
      <c r="AD126"/>
      <c r="AE126"/>
      <c r="AF126"/>
      <c r="AG126"/>
      <c r="AH126"/>
      <c r="AI126"/>
    </row>
    <row r="127" spans="1:35" s="33" customFormat="1" ht="15.75">
      <c r="A127" s="175"/>
      <c r="B127" s="163"/>
      <c r="C127" s="123"/>
      <c r="D127" s="123"/>
      <c r="E127" s="32"/>
      <c r="F127"/>
      <c r="G127"/>
      <c r="H127"/>
      <c r="I127"/>
      <c r="J127"/>
      <c r="K127"/>
      <c r="L127"/>
      <c r="M127"/>
      <c r="N127"/>
      <c r="O127"/>
      <c r="P127"/>
      <c r="Q127"/>
      <c r="R127"/>
      <c r="S127"/>
      <c r="T127"/>
      <c r="U127"/>
      <c r="V127"/>
      <c r="W127"/>
      <c r="X127"/>
      <c r="Y127"/>
      <c r="Z127"/>
      <c r="AA127"/>
      <c r="AB127"/>
      <c r="AC127"/>
      <c r="AD127"/>
      <c r="AE127"/>
      <c r="AF127"/>
      <c r="AG127"/>
      <c r="AH127"/>
      <c r="AI127"/>
    </row>
    <row r="128" spans="1:35" s="33" customFormat="1" ht="15.75">
      <c r="A128" s="175"/>
      <c r="B128" s="163"/>
      <c r="C128" s="123"/>
      <c r="D128" s="123"/>
      <c r="E128" s="32"/>
      <c r="F128"/>
      <c r="G128"/>
      <c r="H128"/>
      <c r="I128"/>
      <c r="J128"/>
      <c r="K128"/>
      <c r="L128"/>
      <c r="M128"/>
      <c r="N128"/>
      <c r="O128"/>
      <c r="P128"/>
      <c r="Q128"/>
      <c r="R128"/>
      <c r="S128"/>
      <c r="T128"/>
      <c r="U128"/>
      <c r="V128"/>
      <c r="W128"/>
      <c r="X128"/>
      <c r="Y128"/>
      <c r="Z128"/>
      <c r="AA128"/>
      <c r="AB128"/>
      <c r="AC128"/>
      <c r="AD128"/>
      <c r="AE128"/>
      <c r="AF128"/>
      <c r="AG128"/>
      <c r="AH128"/>
      <c r="AI128"/>
    </row>
    <row r="129" spans="1:35" s="33" customFormat="1" ht="15.75">
      <c r="A129" s="175"/>
      <c r="B129" s="163"/>
      <c r="C129" s="123"/>
      <c r="D129" s="123"/>
      <c r="E129" s="32"/>
      <c r="F129"/>
      <c r="G129"/>
      <c r="H129"/>
      <c r="I129"/>
      <c r="J129"/>
      <c r="K129"/>
      <c r="L129"/>
      <c r="M129"/>
      <c r="N129"/>
      <c r="O129"/>
      <c r="P129"/>
      <c r="Q129"/>
      <c r="R129"/>
      <c r="S129"/>
      <c r="T129"/>
      <c r="U129"/>
      <c r="V129"/>
      <c r="W129"/>
      <c r="X129"/>
      <c r="Y129"/>
      <c r="Z129"/>
      <c r="AA129"/>
      <c r="AB129"/>
      <c r="AC129"/>
      <c r="AD129"/>
      <c r="AE129"/>
      <c r="AF129"/>
      <c r="AG129"/>
      <c r="AH129"/>
      <c r="AI129"/>
    </row>
    <row r="130" spans="1:35" s="33" customFormat="1" ht="15.75">
      <c r="A130" s="175"/>
      <c r="B130" s="163"/>
      <c r="C130" s="123"/>
      <c r="D130" s="123"/>
      <c r="E130" s="32"/>
      <c r="F130"/>
      <c r="G130"/>
      <c r="H130"/>
      <c r="I130"/>
      <c r="J130"/>
      <c r="K130"/>
      <c r="L130"/>
      <c r="M130"/>
      <c r="N130"/>
      <c r="O130"/>
      <c r="P130"/>
      <c r="Q130"/>
      <c r="R130"/>
      <c r="S130"/>
      <c r="T130"/>
      <c r="U130"/>
      <c r="V130"/>
      <c r="W130"/>
      <c r="X130"/>
      <c r="Y130"/>
      <c r="Z130"/>
      <c r="AA130"/>
      <c r="AB130"/>
      <c r="AC130"/>
      <c r="AD130"/>
      <c r="AE130"/>
      <c r="AF130"/>
      <c r="AG130"/>
      <c r="AH130"/>
      <c r="AI130"/>
    </row>
    <row r="131" spans="1:35" s="33" customFormat="1" ht="15.75">
      <c r="A131" s="175"/>
      <c r="B131" s="163"/>
      <c r="C131" s="123"/>
      <c r="D131" s="123"/>
      <c r="E131" s="32"/>
      <c r="F131"/>
      <c r="G131"/>
      <c r="H131"/>
      <c r="I131"/>
      <c r="J131"/>
      <c r="K131"/>
      <c r="L131"/>
      <c r="M131"/>
      <c r="N131"/>
      <c r="O131"/>
      <c r="P131"/>
      <c r="Q131"/>
      <c r="R131"/>
      <c r="S131"/>
      <c r="T131"/>
      <c r="U131"/>
      <c r="V131"/>
      <c r="W131"/>
      <c r="X131"/>
      <c r="Y131"/>
      <c r="Z131"/>
      <c r="AA131"/>
      <c r="AB131"/>
      <c r="AC131"/>
      <c r="AD131"/>
      <c r="AE131"/>
      <c r="AF131"/>
      <c r="AG131"/>
      <c r="AH131"/>
      <c r="AI131"/>
    </row>
    <row r="132" spans="1:35" s="33" customFormat="1" ht="15.75">
      <c r="A132" s="175"/>
      <c r="B132" s="163"/>
      <c r="C132" s="123"/>
      <c r="D132" s="123"/>
      <c r="E132" s="32"/>
      <c r="F132"/>
      <c r="G132"/>
      <c r="H132"/>
      <c r="I132"/>
      <c r="J132"/>
      <c r="K132"/>
      <c r="L132"/>
      <c r="M132"/>
      <c r="N132"/>
      <c r="O132"/>
      <c r="P132"/>
      <c r="Q132"/>
      <c r="R132"/>
      <c r="S132"/>
      <c r="T132"/>
      <c r="U132"/>
      <c r="V132"/>
      <c r="W132"/>
      <c r="X132"/>
      <c r="Y132"/>
      <c r="Z132"/>
      <c r="AA132"/>
      <c r="AB132"/>
      <c r="AC132"/>
      <c r="AD132"/>
      <c r="AE132"/>
      <c r="AF132"/>
      <c r="AG132"/>
      <c r="AH132"/>
      <c r="AI132"/>
    </row>
    <row r="133" spans="1:35" s="33" customFormat="1" ht="15.75">
      <c r="A133" s="175"/>
      <c r="B133" s="163"/>
      <c r="C133" s="123"/>
      <c r="D133" s="123"/>
      <c r="E133" s="32"/>
      <c r="F133"/>
      <c r="G133"/>
      <c r="H133"/>
      <c r="I133"/>
      <c r="J133"/>
      <c r="K133"/>
      <c r="L133"/>
      <c r="M133"/>
      <c r="N133"/>
      <c r="O133"/>
      <c r="P133"/>
      <c r="Q133"/>
      <c r="R133"/>
      <c r="S133"/>
      <c r="T133"/>
      <c r="U133"/>
      <c r="V133"/>
      <c r="W133"/>
      <c r="X133"/>
      <c r="Y133"/>
      <c r="Z133"/>
      <c r="AA133"/>
      <c r="AB133"/>
      <c r="AC133"/>
      <c r="AD133"/>
      <c r="AE133"/>
      <c r="AF133"/>
      <c r="AG133"/>
      <c r="AH133"/>
      <c r="AI133"/>
    </row>
    <row r="134" spans="1:35" s="33" customFormat="1" ht="15.75">
      <c r="A134" s="175"/>
      <c r="B134" s="163"/>
      <c r="C134" s="123"/>
      <c r="D134" s="123"/>
      <c r="E134" s="32"/>
      <c r="F134"/>
      <c r="G134"/>
      <c r="H134"/>
      <c r="I134"/>
      <c r="J134"/>
      <c r="K134"/>
      <c r="L134"/>
      <c r="M134"/>
      <c r="N134"/>
      <c r="O134"/>
      <c r="P134"/>
      <c r="Q134"/>
      <c r="R134"/>
      <c r="S134"/>
      <c r="T134"/>
      <c r="U134"/>
      <c r="V134"/>
      <c r="W134"/>
      <c r="X134"/>
      <c r="Y134"/>
      <c r="Z134"/>
      <c r="AA134"/>
      <c r="AB134"/>
      <c r="AC134"/>
      <c r="AD134"/>
      <c r="AE134"/>
      <c r="AF134"/>
      <c r="AG134"/>
      <c r="AH134"/>
      <c r="AI134"/>
    </row>
    <row r="135" spans="1:35" s="33" customFormat="1" ht="15.75">
      <c r="A135" s="175"/>
      <c r="B135" s="163"/>
      <c r="C135" s="123"/>
      <c r="D135" s="123"/>
      <c r="E135" s="32"/>
      <c r="F135"/>
      <c r="G135"/>
      <c r="H135"/>
      <c r="I135"/>
      <c r="J135"/>
      <c r="K135"/>
      <c r="L135"/>
      <c r="M135"/>
      <c r="N135"/>
      <c r="O135"/>
      <c r="P135"/>
      <c r="Q135"/>
      <c r="R135"/>
      <c r="S135"/>
      <c r="T135"/>
      <c r="U135"/>
      <c r="V135"/>
      <c r="W135"/>
      <c r="X135"/>
      <c r="Y135"/>
      <c r="Z135"/>
      <c r="AA135"/>
      <c r="AB135"/>
      <c r="AC135"/>
      <c r="AD135"/>
      <c r="AE135"/>
      <c r="AF135"/>
      <c r="AG135"/>
      <c r="AH135"/>
      <c r="AI135"/>
    </row>
    <row r="136" spans="1:35" s="33" customFormat="1" ht="15.75">
      <c r="A136" s="175"/>
      <c r="B136" s="163"/>
      <c r="C136" s="123"/>
      <c r="D136" s="123"/>
      <c r="E136" s="32"/>
      <c r="F136"/>
      <c r="G136"/>
      <c r="H136"/>
      <c r="I136"/>
      <c r="J136"/>
      <c r="K136"/>
      <c r="L136"/>
      <c r="M136"/>
      <c r="N136"/>
      <c r="O136"/>
      <c r="P136"/>
      <c r="Q136"/>
      <c r="R136"/>
      <c r="S136"/>
      <c r="T136"/>
      <c r="U136"/>
      <c r="V136"/>
      <c r="W136"/>
      <c r="X136"/>
      <c r="Y136"/>
      <c r="Z136"/>
      <c r="AA136"/>
      <c r="AB136"/>
      <c r="AC136"/>
      <c r="AD136"/>
      <c r="AE136"/>
      <c r="AF136"/>
      <c r="AG136"/>
      <c r="AH136"/>
      <c r="AI136"/>
    </row>
    <row r="137" spans="1:35" s="33" customFormat="1" ht="15.75">
      <c r="A137" s="175"/>
      <c r="B137" s="163"/>
      <c r="C137" s="123"/>
      <c r="D137" s="123"/>
      <c r="E137" s="32"/>
      <c r="F137"/>
      <c r="G137"/>
      <c r="H137"/>
      <c r="I137"/>
      <c r="J137"/>
      <c r="K137"/>
      <c r="L137"/>
      <c r="M137"/>
      <c r="N137"/>
      <c r="O137"/>
      <c r="P137"/>
      <c r="Q137"/>
      <c r="R137"/>
      <c r="S137"/>
      <c r="T137"/>
      <c r="U137"/>
      <c r="V137"/>
      <c r="W137"/>
      <c r="X137"/>
      <c r="Y137"/>
      <c r="Z137"/>
      <c r="AA137"/>
      <c r="AB137"/>
      <c r="AC137"/>
      <c r="AD137"/>
      <c r="AE137"/>
      <c r="AF137"/>
      <c r="AG137"/>
      <c r="AH137"/>
      <c r="AI137"/>
    </row>
    <row r="138" spans="1:35" s="33" customFormat="1" ht="15.75">
      <c r="A138" s="175"/>
      <c r="B138" s="163"/>
      <c r="C138" s="123"/>
      <c r="D138" s="123"/>
      <c r="E138" s="32"/>
      <c r="F138"/>
      <c r="G138"/>
      <c r="H138"/>
      <c r="I138"/>
      <c r="J138"/>
      <c r="K138"/>
      <c r="L138"/>
      <c r="M138"/>
      <c r="N138"/>
      <c r="O138"/>
      <c r="P138"/>
      <c r="Q138"/>
      <c r="R138"/>
      <c r="S138"/>
      <c r="T138"/>
      <c r="U138"/>
      <c r="V138"/>
      <c r="W138"/>
      <c r="X138"/>
      <c r="Y138"/>
      <c r="Z138"/>
      <c r="AA138"/>
      <c r="AB138"/>
      <c r="AC138"/>
      <c r="AD138"/>
      <c r="AE138"/>
      <c r="AF138"/>
      <c r="AG138"/>
      <c r="AH138"/>
      <c r="AI138"/>
    </row>
    <row r="139" spans="1:35" s="33" customFormat="1" ht="15.75">
      <c r="A139" s="175"/>
      <c r="B139" s="163"/>
      <c r="C139" s="123"/>
      <c r="D139" s="123"/>
      <c r="E139" s="32"/>
      <c r="F139"/>
      <c r="G139"/>
      <c r="H139"/>
      <c r="I139"/>
      <c r="J139"/>
      <c r="K139"/>
      <c r="L139"/>
      <c r="M139"/>
      <c r="N139"/>
      <c r="O139"/>
      <c r="P139"/>
      <c r="Q139"/>
      <c r="R139"/>
      <c r="S139"/>
      <c r="T139"/>
      <c r="U139"/>
      <c r="V139"/>
      <c r="W139"/>
      <c r="X139"/>
      <c r="Y139"/>
      <c r="Z139"/>
      <c r="AA139"/>
      <c r="AB139"/>
      <c r="AC139"/>
      <c r="AD139"/>
      <c r="AE139"/>
      <c r="AF139"/>
      <c r="AG139"/>
      <c r="AH139"/>
      <c r="AI139"/>
    </row>
    <row r="140" spans="1:35" s="33" customFormat="1" ht="15.75">
      <c r="A140" s="175"/>
      <c r="B140" s="163"/>
      <c r="C140" s="123"/>
      <c r="D140" s="123"/>
      <c r="E140" s="32"/>
      <c r="F140"/>
      <c r="G140"/>
      <c r="H140"/>
      <c r="I140"/>
      <c r="J140"/>
      <c r="K140"/>
      <c r="L140"/>
      <c r="M140"/>
      <c r="N140"/>
      <c r="O140"/>
      <c r="P140"/>
      <c r="Q140"/>
      <c r="R140"/>
      <c r="S140"/>
      <c r="T140"/>
      <c r="U140"/>
      <c r="V140"/>
      <c r="W140"/>
      <c r="X140"/>
      <c r="Y140"/>
      <c r="Z140"/>
      <c r="AA140"/>
      <c r="AB140"/>
      <c r="AC140"/>
      <c r="AD140"/>
      <c r="AE140"/>
      <c r="AF140"/>
      <c r="AG140"/>
      <c r="AH140"/>
      <c r="AI140"/>
    </row>
    <row r="141" spans="1:35" s="33" customFormat="1" ht="15.75">
      <c r="A141" s="175"/>
      <c r="B141" s="163"/>
      <c r="C141" s="123"/>
      <c r="D141" s="123"/>
      <c r="E141" s="32"/>
      <c r="F141"/>
      <c r="G141"/>
      <c r="H141"/>
      <c r="I141"/>
      <c r="J141"/>
      <c r="K141"/>
      <c r="L141"/>
      <c r="M141"/>
      <c r="N141"/>
      <c r="O141"/>
      <c r="P141"/>
      <c r="Q141"/>
      <c r="R141"/>
      <c r="S141"/>
      <c r="T141"/>
      <c r="U141"/>
      <c r="V141"/>
      <c r="W141"/>
      <c r="X141"/>
      <c r="Y141"/>
      <c r="Z141"/>
      <c r="AA141"/>
      <c r="AB141"/>
      <c r="AC141"/>
      <c r="AD141"/>
      <c r="AE141"/>
      <c r="AF141"/>
      <c r="AG141"/>
      <c r="AH141"/>
      <c r="AI141"/>
    </row>
    <row r="142" spans="1:35" s="33" customFormat="1" ht="15.75">
      <c r="A142" s="175"/>
      <c r="B142" s="163"/>
      <c r="C142" s="123"/>
      <c r="D142" s="123"/>
      <c r="E142" s="32"/>
      <c r="F142"/>
      <c r="G142"/>
      <c r="H142"/>
      <c r="I142"/>
      <c r="J142"/>
      <c r="K142"/>
      <c r="L142"/>
      <c r="M142"/>
      <c r="N142"/>
      <c r="O142"/>
      <c r="P142"/>
      <c r="Q142"/>
      <c r="R142"/>
      <c r="S142"/>
      <c r="T142"/>
      <c r="U142"/>
      <c r="V142"/>
      <c r="W142"/>
      <c r="X142"/>
      <c r="Y142"/>
      <c r="Z142"/>
      <c r="AA142"/>
      <c r="AB142"/>
      <c r="AC142"/>
      <c r="AD142"/>
      <c r="AE142"/>
      <c r="AF142"/>
      <c r="AG142"/>
      <c r="AH142"/>
      <c r="AI142"/>
    </row>
    <row r="143" spans="1:35" s="33" customFormat="1" ht="15.75">
      <c r="A143" s="175"/>
      <c r="B143" s="163"/>
      <c r="C143" s="123"/>
      <c r="D143" s="123"/>
      <c r="E143" s="32"/>
      <c r="F143"/>
      <c r="G143"/>
      <c r="H143"/>
      <c r="I143"/>
      <c r="J143"/>
      <c r="K143"/>
      <c r="L143"/>
      <c r="M143"/>
      <c r="N143"/>
      <c r="O143"/>
      <c r="P143"/>
      <c r="Q143"/>
      <c r="R143"/>
      <c r="S143"/>
      <c r="T143"/>
      <c r="U143"/>
      <c r="V143"/>
      <c r="W143"/>
      <c r="X143"/>
      <c r="Y143"/>
      <c r="Z143"/>
      <c r="AA143"/>
      <c r="AB143"/>
      <c r="AC143"/>
      <c r="AD143"/>
      <c r="AE143"/>
      <c r="AF143"/>
      <c r="AG143"/>
      <c r="AH143"/>
      <c r="AI143"/>
    </row>
    <row r="144" spans="1:35" s="33" customFormat="1" ht="15.75">
      <c r="A144" s="175"/>
      <c r="B144" s="163"/>
      <c r="C144" s="123"/>
      <c r="D144" s="123"/>
      <c r="E144" s="32"/>
      <c r="F144"/>
      <c r="G144"/>
      <c r="H144"/>
      <c r="I144"/>
      <c r="J144"/>
      <c r="K144"/>
      <c r="L144"/>
      <c r="M144"/>
      <c r="N144"/>
      <c r="O144"/>
      <c r="P144"/>
      <c r="Q144"/>
      <c r="R144"/>
      <c r="S144"/>
      <c r="T144"/>
      <c r="U144"/>
      <c r="V144"/>
      <c r="W144"/>
      <c r="X144"/>
      <c r="Y144"/>
      <c r="Z144"/>
      <c r="AA144"/>
      <c r="AB144"/>
      <c r="AC144"/>
      <c r="AD144"/>
      <c r="AE144"/>
      <c r="AF144"/>
      <c r="AG144"/>
      <c r="AH144"/>
      <c r="AI144"/>
    </row>
    <row r="145" spans="1:35" s="33" customFormat="1" ht="15.75">
      <c r="A145" s="175"/>
      <c r="B145" s="163"/>
      <c r="C145" s="123"/>
      <c r="D145" s="123"/>
      <c r="E145" s="32"/>
      <c r="F145"/>
      <c r="G145"/>
      <c r="H145"/>
      <c r="I145"/>
      <c r="J145"/>
      <c r="K145"/>
      <c r="L145"/>
      <c r="M145"/>
      <c r="N145"/>
      <c r="O145"/>
      <c r="P145"/>
      <c r="Q145"/>
      <c r="R145"/>
      <c r="S145"/>
      <c r="T145"/>
      <c r="U145"/>
      <c r="V145"/>
      <c r="W145"/>
      <c r="X145"/>
      <c r="Y145"/>
      <c r="Z145"/>
      <c r="AA145"/>
      <c r="AB145"/>
      <c r="AC145"/>
      <c r="AD145"/>
      <c r="AE145"/>
      <c r="AF145"/>
      <c r="AG145"/>
      <c r="AH145"/>
      <c r="AI145"/>
    </row>
    <row r="146" spans="1:35" s="33" customFormat="1" ht="15.75">
      <c r="A146" s="175"/>
      <c r="B146" s="163"/>
      <c r="C146" s="123"/>
      <c r="D146" s="123"/>
      <c r="E146" s="32"/>
      <c r="F146"/>
      <c r="G146"/>
      <c r="H146"/>
      <c r="I146"/>
      <c r="J146"/>
      <c r="K146"/>
      <c r="L146"/>
      <c r="M146"/>
      <c r="N146"/>
      <c r="O146"/>
      <c r="P146"/>
      <c r="Q146"/>
      <c r="R146"/>
      <c r="S146"/>
      <c r="T146"/>
      <c r="U146"/>
      <c r="V146"/>
      <c r="W146"/>
      <c r="X146"/>
      <c r="Y146"/>
      <c r="Z146"/>
      <c r="AA146"/>
      <c r="AB146"/>
      <c r="AC146"/>
      <c r="AD146"/>
      <c r="AE146"/>
      <c r="AF146"/>
      <c r="AG146"/>
      <c r="AH146"/>
      <c r="AI146"/>
    </row>
    <row r="147" spans="1:35" s="33" customFormat="1" ht="15.75">
      <c r="A147" s="175"/>
      <c r="B147" s="163"/>
      <c r="C147" s="123"/>
      <c r="D147" s="123"/>
      <c r="E147" s="32"/>
      <c r="F147"/>
      <c r="G147"/>
      <c r="H147"/>
      <c r="I147"/>
      <c r="J147"/>
      <c r="K147"/>
      <c r="L147"/>
      <c r="M147"/>
      <c r="N147"/>
      <c r="O147"/>
      <c r="P147"/>
      <c r="Q147"/>
      <c r="R147"/>
      <c r="S147"/>
      <c r="T147"/>
      <c r="U147"/>
      <c r="V147"/>
      <c r="W147"/>
      <c r="X147"/>
      <c r="Y147"/>
      <c r="Z147"/>
      <c r="AA147"/>
      <c r="AB147"/>
      <c r="AC147"/>
      <c r="AD147"/>
      <c r="AE147"/>
      <c r="AF147"/>
      <c r="AG147"/>
      <c r="AH147"/>
      <c r="AI147"/>
    </row>
    <row r="148" spans="1:35" s="33" customFormat="1" ht="15.75">
      <c r="A148" s="175"/>
      <c r="B148" s="163"/>
      <c r="C148" s="123"/>
      <c r="D148" s="123"/>
      <c r="E148" s="32"/>
      <c r="F148"/>
      <c r="G148"/>
      <c r="H148"/>
      <c r="I148"/>
      <c r="J148"/>
      <c r="K148"/>
      <c r="L148"/>
      <c r="M148"/>
      <c r="N148"/>
      <c r="O148"/>
      <c r="P148"/>
      <c r="Q148"/>
      <c r="R148"/>
      <c r="S148"/>
      <c r="T148"/>
      <c r="U148"/>
      <c r="V148"/>
      <c r="W148"/>
      <c r="X148"/>
      <c r="Y148"/>
      <c r="Z148"/>
      <c r="AA148"/>
      <c r="AB148"/>
      <c r="AC148"/>
      <c r="AD148"/>
      <c r="AE148"/>
      <c r="AF148"/>
      <c r="AG148"/>
      <c r="AH148"/>
      <c r="AI148"/>
    </row>
    <row r="149" spans="1:35" s="33" customFormat="1" ht="15.75">
      <c r="A149" s="175"/>
      <c r="B149" s="163"/>
      <c r="C149" s="123"/>
      <c r="D149" s="123"/>
      <c r="E149" s="32"/>
      <c r="F149"/>
      <c r="G149"/>
      <c r="H149"/>
      <c r="I149"/>
      <c r="J149"/>
      <c r="K149"/>
      <c r="L149"/>
      <c r="M149"/>
      <c r="N149"/>
      <c r="O149"/>
      <c r="P149"/>
      <c r="Q149"/>
      <c r="R149"/>
      <c r="S149"/>
      <c r="T149"/>
      <c r="U149"/>
      <c r="V149"/>
      <c r="W149"/>
      <c r="X149"/>
      <c r="Y149"/>
      <c r="Z149"/>
      <c r="AA149"/>
      <c r="AB149"/>
      <c r="AC149"/>
      <c r="AD149"/>
      <c r="AE149"/>
      <c r="AF149"/>
      <c r="AG149"/>
      <c r="AH149"/>
      <c r="AI149"/>
    </row>
    <row r="150" spans="1:35" s="33" customFormat="1" ht="15.75">
      <c r="A150" s="175"/>
      <c r="B150" s="163"/>
      <c r="C150" s="123"/>
      <c r="D150" s="123"/>
      <c r="E150" s="32"/>
      <c r="F150"/>
      <c r="G150"/>
      <c r="H150"/>
      <c r="I150"/>
      <c r="J150"/>
      <c r="K150"/>
      <c r="L150"/>
      <c r="M150"/>
      <c r="N150"/>
      <c r="O150"/>
      <c r="P150"/>
      <c r="Q150"/>
      <c r="R150"/>
      <c r="S150"/>
      <c r="T150"/>
      <c r="U150"/>
      <c r="V150"/>
      <c r="W150"/>
      <c r="X150"/>
      <c r="Y150"/>
      <c r="Z150"/>
      <c r="AA150"/>
      <c r="AB150"/>
      <c r="AC150"/>
      <c r="AD150"/>
      <c r="AE150"/>
      <c r="AF150"/>
      <c r="AG150"/>
      <c r="AH150"/>
      <c r="AI150"/>
    </row>
    <row r="151" spans="1:35" s="33" customFormat="1" ht="15.75">
      <c r="A151" s="175"/>
      <c r="B151" s="163"/>
      <c r="C151" s="123"/>
      <c r="D151" s="123"/>
      <c r="E151" s="32"/>
      <c r="F151"/>
      <c r="G151"/>
      <c r="H151"/>
      <c r="I151"/>
      <c r="J151"/>
      <c r="K151"/>
      <c r="L151"/>
      <c r="M151"/>
      <c r="N151"/>
      <c r="O151"/>
      <c r="P151"/>
      <c r="Q151"/>
      <c r="R151"/>
      <c r="S151"/>
      <c r="T151"/>
      <c r="U151"/>
      <c r="V151"/>
      <c r="W151"/>
      <c r="X151"/>
      <c r="Y151"/>
      <c r="Z151"/>
      <c r="AA151"/>
      <c r="AB151"/>
      <c r="AC151"/>
      <c r="AD151"/>
      <c r="AE151"/>
      <c r="AF151"/>
      <c r="AG151"/>
      <c r="AH151"/>
      <c r="AI151"/>
    </row>
    <row r="152" spans="1:35" s="33" customFormat="1" ht="15.75">
      <c r="A152" s="175"/>
      <c r="B152" s="163"/>
      <c r="C152" s="123"/>
      <c r="D152" s="123"/>
      <c r="E152" s="32"/>
      <c r="F152"/>
      <c r="G152"/>
      <c r="H152"/>
      <c r="I152"/>
      <c r="J152"/>
      <c r="K152"/>
      <c r="L152"/>
      <c r="M152"/>
      <c r="N152"/>
      <c r="O152"/>
      <c r="P152"/>
      <c r="Q152"/>
      <c r="R152"/>
      <c r="S152"/>
      <c r="T152"/>
      <c r="U152"/>
      <c r="V152"/>
      <c r="W152"/>
      <c r="X152"/>
      <c r="Y152"/>
      <c r="Z152"/>
      <c r="AA152"/>
      <c r="AB152"/>
      <c r="AC152"/>
      <c r="AD152"/>
      <c r="AE152"/>
      <c r="AF152"/>
      <c r="AG152"/>
      <c r="AH152"/>
      <c r="AI152"/>
    </row>
    <row r="153" spans="1:35" s="33" customFormat="1" ht="15.75">
      <c r="A153" s="175"/>
      <c r="B153" s="163"/>
      <c r="C153" s="123"/>
      <c r="D153" s="123"/>
      <c r="E153" s="32"/>
      <c r="F153"/>
      <c r="G153"/>
      <c r="H153"/>
      <c r="I153"/>
      <c r="J153"/>
      <c r="K153"/>
      <c r="L153"/>
      <c r="M153"/>
      <c r="N153"/>
      <c r="O153"/>
      <c r="P153"/>
      <c r="Q153"/>
      <c r="R153"/>
      <c r="S153"/>
      <c r="T153"/>
      <c r="U153"/>
      <c r="V153"/>
      <c r="W153"/>
      <c r="X153"/>
      <c r="Y153"/>
      <c r="Z153"/>
      <c r="AA153"/>
      <c r="AB153"/>
      <c r="AC153"/>
      <c r="AD153"/>
      <c r="AE153"/>
      <c r="AF153"/>
      <c r="AG153"/>
      <c r="AH153"/>
      <c r="AI153"/>
    </row>
    <row r="154" spans="1:35" s="33" customFormat="1" ht="15.75">
      <c r="A154" s="175"/>
      <c r="B154" s="163"/>
      <c r="C154" s="123"/>
      <c r="D154" s="123"/>
      <c r="E154" s="32"/>
      <c r="F154"/>
      <c r="G154"/>
      <c r="H154"/>
      <c r="I154"/>
      <c r="J154"/>
      <c r="K154"/>
      <c r="L154"/>
      <c r="M154"/>
      <c r="N154"/>
      <c r="O154"/>
      <c r="P154"/>
      <c r="Q154"/>
      <c r="R154"/>
      <c r="S154"/>
      <c r="T154"/>
      <c r="U154"/>
      <c r="V154"/>
      <c r="W154"/>
      <c r="X154"/>
      <c r="Y154"/>
      <c r="Z154"/>
      <c r="AA154"/>
      <c r="AB154"/>
      <c r="AC154"/>
      <c r="AD154"/>
      <c r="AE154"/>
      <c r="AF154"/>
      <c r="AG154"/>
      <c r="AH154"/>
      <c r="AI154"/>
    </row>
    <row r="155" spans="1:35" s="33" customFormat="1" ht="15.75">
      <c r="A155" s="175"/>
      <c r="B155" s="163"/>
      <c r="C155" s="123"/>
      <c r="D155" s="123"/>
      <c r="E155" s="32"/>
      <c r="F155"/>
      <c r="G155"/>
      <c r="H155"/>
      <c r="I155"/>
      <c r="J155"/>
      <c r="K155"/>
      <c r="L155"/>
      <c r="M155"/>
      <c r="N155"/>
      <c r="O155"/>
      <c r="P155"/>
      <c r="Q155"/>
      <c r="R155"/>
      <c r="S155"/>
      <c r="T155"/>
      <c r="U155"/>
      <c r="V155"/>
      <c r="W155"/>
      <c r="X155"/>
      <c r="Y155"/>
      <c r="Z155"/>
      <c r="AA155"/>
      <c r="AB155"/>
      <c r="AC155"/>
      <c r="AD155"/>
      <c r="AE155"/>
      <c r="AF155"/>
      <c r="AG155"/>
      <c r="AH155"/>
      <c r="AI155"/>
    </row>
    <row r="156" spans="1:35" s="33" customFormat="1" ht="15.75">
      <c r="A156" s="175"/>
      <c r="B156" s="163"/>
      <c r="C156" s="123"/>
      <c r="D156" s="123"/>
      <c r="E156" s="32"/>
      <c r="F156"/>
      <c r="G156"/>
      <c r="H156"/>
      <c r="I156"/>
      <c r="J156"/>
      <c r="K156"/>
      <c r="L156"/>
      <c r="M156"/>
      <c r="N156"/>
      <c r="O156"/>
      <c r="P156"/>
      <c r="Q156"/>
      <c r="R156"/>
      <c r="S156"/>
      <c r="T156"/>
      <c r="U156"/>
      <c r="V156"/>
      <c r="W156"/>
      <c r="X156"/>
      <c r="Y156"/>
      <c r="Z156"/>
      <c r="AA156"/>
      <c r="AB156"/>
      <c r="AC156"/>
      <c r="AD156"/>
      <c r="AE156"/>
      <c r="AF156"/>
      <c r="AG156"/>
      <c r="AH156"/>
      <c r="AI156"/>
    </row>
    <row r="157" spans="1:35" s="33" customFormat="1" ht="15.75">
      <c r="A157" s="175"/>
      <c r="B157" s="163"/>
      <c r="C157" s="123"/>
      <c r="D157" s="123"/>
      <c r="E157" s="32"/>
      <c r="F157"/>
      <c r="G157"/>
      <c r="H157"/>
      <c r="I157"/>
      <c r="J157"/>
      <c r="K157"/>
      <c r="L157"/>
      <c r="M157"/>
      <c r="N157"/>
      <c r="O157"/>
      <c r="P157"/>
      <c r="Q157"/>
      <c r="R157"/>
      <c r="S157"/>
      <c r="T157"/>
      <c r="U157"/>
      <c r="V157"/>
      <c r="W157"/>
      <c r="X157"/>
      <c r="Y157"/>
      <c r="Z157"/>
      <c r="AA157"/>
      <c r="AB157"/>
      <c r="AC157"/>
      <c r="AD157"/>
      <c r="AE157"/>
      <c r="AF157"/>
      <c r="AG157"/>
      <c r="AH157"/>
      <c r="AI157"/>
    </row>
    <row r="158" spans="1:35" s="33" customFormat="1" ht="15.75">
      <c r="A158" s="175"/>
      <c r="B158" s="163"/>
      <c r="C158" s="123"/>
      <c r="D158" s="123"/>
      <c r="E158" s="32"/>
      <c r="F158"/>
      <c r="G158"/>
      <c r="H158"/>
      <c r="I158"/>
      <c r="J158"/>
      <c r="K158"/>
      <c r="L158"/>
      <c r="M158"/>
      <c r="N158"/>
      <c r="O158"/>
      <c r="P158"/>
      <c r="Q158"/>
      <c r="R158"/>
      <c r="S158"/>
      <c r="T158"/>
      <c r="U158"/>
      <c r="V158"/>
      <c r="W158"/>
      <c r="X158"/>
      <c r="Y158"/>
      <c r="Z158"/>
      <c r="AA158"/>
      <c r="AB158"/>
      <c r="AC158"/>
      <c r="AD158"/>
      <c r="AE158"/>
      <c r="AF158"/>
      <c r="AG158"/>
      <c r="AH158"/>
      <c r="AI158"/>
    </row>
    <row r="159" spans="1:35" s="33" customFormat="1" ht="15.75">
      <c r="A159" s="175"/>
      <c r="B159" s="163"/>
      <c r="C159" s="123"/>
      <c r="D159" s="123"/>
      <c r="E159" s="32"/>
      <c r="F159"/>
      <c r="G159"/>
      <c r="H159"/>
      <c r="I159"/>
      <c r="J159"/>
      <c r="K159"/>
      <c r="L159"/>
      <c r="M159"/>
      <c r="N159"/>
      <c r="O159"/>
      <c r="P159"/>
      <c r="Q159"/>
      <c r="R159"/>
      <c r="S159"/>
      <c r="T159"/>
      <c r="U159"/>
      <c r="V159"/>
      <c r="W159"/>
      <c r="X159"/>
      <c r="Y159"/>
      <c r="Z159"/>
      <c r="AA159"/>
      <c r="AB159"/>
      <c r="AC159"/>
      <c r="AD159"/>
      <c r="AE159"/>
      <c r="AF159"/>
      <c r="AG159"/>
      <c r="AH159"/>
      <c r="AI159"/>
    </row>
    <row r="160" spans="1:35" s="33" customFormat="1" ht="15.75">
      <c r="A160" s="175"/>
      <c r="B160" s="163"/>
      <c r="C160" s="123"/>
      <c r="D160" s="123"/>
      <c r="E160" s="32"/>
      <c r="F160"/>
      <c r="G160"/>
      <c r="H160"/>
      <c r="I160"/>
      <c r="J160"/>
      <c r="K160"/>
      <c r="L160"/>
      <c r="M160"/>
      <c r="N160"/>
      <c r="O160"/>
      <c r="P160"/>
      <c r="Q160"/>
      <c r="R160"/>
      <c r="S160"/>
      <c r="T160"/>
      <c r="U160"/>
      <c r="V160"/>
      <c r="W160"/>
      <c r="X160"/>
      <c r="Y160"/>
      <c r="Z160"/>
      <c r="AA160"/>
      <c r="AB160"/>
      <c r="AC160"/>
      <c r="AD160"/>
      <c r="AE160"/>
      <c r="AF160"/>
      <c r="AG160"/>
      <c r="AH160"/>
      <c r="AI160"/>
    </row>
    <row r="161" spans="1:35" s="33" customFormat="1" ht="15.75">
      <c r="A161" s="175"/>
      <c r="B161" s="163"/>
      <c r="C161" s="123"/>
      <c r="D161" s="123"/>
      <c r="E161" s="32"/>
      <c r="F161"/>
      <c r="G161"/>
      <c r="H161"/>
      <c r="I161"/>
      <c r="J161"/>
      <c r="K161"/>
      <c r="L161"/>
      <c r="M161"/>
      <c r="N161"/>
      <c r="O161"/>
      <c r="P161"/>
      <c r="Q161"/>
      <c r="R161"/>
      <c r="S161"/>
      <c r="T161"/>
      <c r="U161"/>
      <c r="V161"/>
      <c r="W161"/>
      <c r="X161"/>
      <c r="Y161"/>
      <c r="Z161"/>
      <c r="AA161"/>
      <c r="AB161"/>
      <c r="AC161"/>
      <c r="AD161"/>
      <c r="AE161"/>
      <c r="AF161"/>
      <c r="AG161"/>
      <c r="AH161"/>
      <c r="AI161"/>
    </row>
    <row r="162" spans="1:35" s="33" customFormat="1" ht="15.75">
      <c r="A162" s="175"/>
      <c r="B162" s="163"/>
      <c r="C162" s="123"/>
      <c r="D162" s="123"/>
      <c r="E162" s="32"/>
      <c r="F162"/>
      <c r="G162"/>
      <c r="H162"/>
      <c r="I162"/>
      <c r="J162"/>
      <c r="K162"/>
      <c r="L162"/>
      <c r="M162"/>
      <c r="N162"/>
      <c r="O162"/>
      <c r="P162"/>
      <c r="Q162"/>
      <c r="R162"/>
      <c r="S162"/>
      <c r="T162"/>
      <c r="U162"/>
      <c r="V162"/>
      <c r="W162"/>
      <c r="X162"/>
      <c r="Y162"/>
      <c r="Z162"/>
      <c r="AA162"/>
      <c r="AB162"/>
      <c r="AC162"/>
      <c r="AD162"/>
      <c r="AE162"/>
      <c r="AF162"/>
      <c r="AG162"/>
      <c r="AH162"/>
      <c r="AI162"/>
    </row>
    <row r="163" spans="1:35" s="33" customFormat="1" ht="15.75">
      <c r="A163" s="175"/>
      <c r="B163" s="163"/>
      <c r="C163" s="123"/>
      <c r="D163" s="123"/>
      <c r="E163" s="32"/>
      <c r="F163"/>
      <c r="G163"/>
      <c r="H163"/>
      <c r="I163"/>
      <c r="J163"/>
      <c r="K163"/>
      <c r="L163"/>
      <c r="M163"/>
      <c r="N163"/>
      <c r="O163"/>
      <c r="P163"/>
      <c r="Q163"/>
      <c r="R163"/>
      <c r="S163"/>
      <c r="T163"/>
      <c r="U163"/>
      <c r="V163"/>
      <c r="W163"/>
      <c r="X163"/>
      <c r="Y163"/>
      <c r="Z163"/>
      <c r="AA163"/>
      <c r="AB163"/>
      <c r="AC163"/>
      <c r="AD163"/>
      <c r="AE163"/>
      <c r="AF163"/>
      <c r="AG163"/>
      <c r="AH163"/>
      <c r="AI163"/>
    </row>
    <row r="164" spans="1:35" s="33" customFormat="1" ht="15.75">
      <c r="A164" s="175"/>
      <c r="B164" s="163"/>
      <c r="C164" s="123"/>
      <c r="D164" s="123"/>
      <c r="E164" s="32"/>
      <c r="F164"/>
      <c r="G164"/>
      <c r="H164"/>
      <c r="I164"/>
      <c r="J164"/>
      <c r="K164"/>
      <c r="L164"/>
      <c r="M164"/>
      <c r="N164"/>
      <c r="O164"/>
      <c r="P164"/>
      <c r="Q164"/>
      <c r="R164"/>
      <c r="S164"/>
      <c r="T164"/>
      <c r="U164"/>
      <c r="V164"/>
      <c r="W164"/>
      <c r="X164"/>
      <c r="Y164"/>
      <c r="Z164"/>
      <c r="AA164"/>
      <c r="AB164"/>
      <c r="AC164"/>
      <c r="AD164"/>
      <c r="AE164"/>
      <c r="AF164"/>
      <c r="AG164"/>
      <c r="AH164"/>
      <c r="AI164"/>
    </row>
    <row r="165" spans="1:35" s="33" customFormat="1" ht="15.75">
      <c r="A165" s="175"/>
      <c r="B165" s="163"/>
      <c r="C165" s="123"/>
      <c r="D165" s="123"/>
      <c r="E165" s="32"/>
      <c r="F165"/>
      <c r="G165"/>
      <c r="H165"/>
      <c r="I165"/>
      <c r="J165"/>
      <c r="K165"/>
      <c r="L165"/>
      <c r="M165"/>
      <c r="N165"/>
      <c r="O165"/>
      <c r="P165"/>
      <c r="Q165"/>
      <c r="R165"/>
      <c r="S165"/>
      <c r="T165"/>
      <c r="U165"/>
      <c r="V165"/>
      <c r="W165"/>
      <c r="X165"/>
      <c r="Y165"/>
      <c r="Z165"/>
      <c r="AA165"/>
      <c r="AB165"/>
      <c r="AC165"/>
      <c r="AD165"/>
      <c r="AE165"/>
      <c r="AF165"/>
      <c r="AG165"/>
      <c r="AH165"/>
      <c r="AI165"/>
    </row>
    <row r="166" spans="1:35" s="33" customFormat="1" ht="15.75">
      <c r="A166" s="175"/>
      <c r="B166" s="163"/>
      <c r="C166" s="123"/>
      <c r="D166" s="123"/>
      <c r="E166" s="32"/>
      <c r="F166"/>
      <c r="G166"/>
      <c r="H166"/>
      <c r="I166"/>
      <c r="J166"/>
      <c r="K166"/>
      <c r="L166"/>
      <c r="M166"/>
      <c r="N166"/>
      <c r="O166"/>
      <c r="P166"/>
      <c r="Q166"/>
      <c r="R166"/>
      <c r="S166"/>
      <c r="T166"/>
      <c r="U166"/>
      <c r="V166"/>
      <c r="W166"/>
      <c r="X166"/>
      <c r="Y166"/>
      <c r="Z166"/>
      <c r="AA166"/>
      <c r="AB166"/>
      <c r="AC166"/>
      <c r="AD166"/>
      <c r="AE166"/>
      <c r="AF166"/>
      <c r="AG166"/>
      <c r="AH166"/>
      <c r="AI166"/>
    </row>
    <row r="167" spans="1:35" s="33" customFormat="1" ht="15.75">
      <c r="A167" s="175"/>
      <c r="B167" s="163"/>
      <c r="C167" s="123"/>
      <c r="D167" s="123"/>
      <c r="E167" s="32"/>
      <c r="F167"/>
      <c r="G167"/>
      <c r="H167"/>
      <c r="I167"/>
      <c r="J167"/>
      <c r="K167"/>
      <c r="L167"/>
      <c r="M167"/>
      <c r="N167"/>
      <c r="O167"/>
      <c r="P167"/>
      <c r="Q167"/>
      <c r="R167"/>
      <c r="S167"/>
      <c r="T167"/>
      <c r="U167"/>
      <c r="V167"/>
      <c r="W167"/>
      <c r="X167"/>
      <c r="Y167"/>
      <c r="Z167"/>
      <c r="AA167"/>
      <c r="AB167"/>
      <c r="AC167"/>
      <c r="AD167"/>
      <c r="AE167"/>
      <c r="AF167"/>
      <c r="AG167"/>
      <c r="AH167"/>
      <c r="AI167"/>
    </row>
    <row r="168" spans="1:35" s="33" customFormat="1" ht="15.75">
      <c r="A168" s="175"/>
      <c r="B168" s="163"/>
      <c r="C168" s="123"/>
      <c r="D168" s="123"/>
      <c r="E168" s="32"/>
      <c r="F168"/>
      <c r="G168"/>
      <c r="H168"/>
      <c r="I168"/>
      <c r="J168"/>
      <c r="K168"/>
      <c r="L168"/>
      <c r="M168"/>
      <c r="N168"/>
      <c r="O168"/>
      <c r="P168"/>
      <c r="Q168"/>
      <c r="R168"/>
      <c r="S168"/>
      <c r="T168"/>
      <c r="U168"/>
      <c r="V168"/>
      <c r="W168"/>
      <c r="X168"/>
      <c r="Y168"/>
      <c r="Z168"/>
      <c r="AA168"/>
      <c r="AB168"/>
      <c r="AC168"/>
      <c r="AD168"/>
      <c r="AE168"/>
      <c r="AF168"/>
      <c r="AG168"/>
      <c r="AH168"/>
      <c r="AI168"/>
    </row>
    <row r="169" spans="1:35" s="33" customFormat="1" ht="15.75">
      <c r="A169" s="175"/>
      <c r="B169" s="163"/>
      <c r="C169" s="123"/>
      <c r="D169" s="123"/>
      <c r="E169" s="32"/>
      <c r="F169"/>
      <c r="G169"/>
      <c r="H169"/>
      <c r="I169"/>
      <c r="J169"/>
      <c r="K169"/>
      <c r="L169"/>
      <c r="M169"/>
      <c r="N169"/>
      <c r="O169"/>
      <c r="P169"/>
      <c r="Q169"/>
      <c r="R169"/>
      <c r="S169"/>
      <c r="T169"/>
      <c r="U169"/>
      <c r="V169"/>
      <c r="W169"/>
      <c r="X169"/>
      <c r="Y169"/>
      <c r="Z169"/>
      <c r="AA169"/>
      <c r="AB169"/>
      <c r="AC169"/>
      <c r="AD169"/>
      <c r="AE169"/>
      <c r="AF169"/>
      <c r="AG169"/>
      <c r="AH169"/>
      <c r="AI169"/>
    </row>
    <row r="170" spans="1:35" s="33" customFormat="1" ht="15.75">
      <c r="A170" s="175"/>
      <c r="B170" s="163"/>
      <c r="C170" s="123"/>
      <c r="D170" s="123"/>
      <c r="E170" s="32"/>
      <c r="F170"/>
      <c r="G170"/>
      <c r="H170"/>
      <c r="I170"/>
      <c r="J170"/>
      <c r="K170"/>
      <c r="L170"/>
      <c r="M170"/>
      <c r="N170"/>
      <c r="O170"/>
      <c r="P170"/>
      <c r="Q170"/>
      <c r="R170"/>
      <c r="S170"/>
      <c r="T170"/>
      <c r="U170"/>
      <c r="V170"/>
      <c r="W170"/>
      <c r="X170"/>
      <c r="Y170"/>
      <c r="Z170"/>
      <c r="AA170"/>
      <c r="AB170"/>
      <c r="AC170"/>
      <c r="AD170"/>
      <c r="AE170"/>
      <c r="AF170"/>
      <c r="AG170"/>
      <c r="AH170"/>
      <c r="AI170"/>
    </row>
    <row r="171" spans="1:35" s="33" customFormat="1" ht="15.75">
      <c r="A171" s="175"/>
      <c r="B171" s="163"/>
      <c r="C171" s="123"/>
      <c r="D171" s="123"/>
      <c r="E171" s="32"/>
      <c r="F171"/>
      <c r="G171"/>
      <c r="H171"/>
      <c r="I171"/>
      <c r="J171"/>
      <c r="K171"/>
      <c r="L171"/>
      <c r="M171"/>
      <c r="N171"/>
      <c r="O171"/>
      <c r="P171"/>
      <c r="Q171"/>
      <c r="R171"/>
      <c r="S171"/>
      <c r="T171"/>
      <c r="U171"/>
      <c r="V171"/>
      <c r="W171"/>
      <c r="X171"/>
      <c r="Y171"/>
      <c r="Z171"/>
      <c r="AA171"/>
      <c r="AB171"/>
      <c r="AC171"/>
      <c r="AD171"/>
      <c r="AE171"/>
      <c r="AF171"/>
      <c r="AG171"/>
      <c r="AH171"/>
      <c r="AI171"/>
    </row>
    <row r="172" spans="1:35" s="33" customFormat="1" ht="15.75">
      <c r="A172" s="175"/>
      <c r="B172" s="163"/>
      <c r="C172" s="123"/>
      <c r="D172" s="123"/>
      <c r="E172" s="32"/>
      <c r="F172"/>
      <c r="G172"/>
      <c r="H172"/>
      <c r="I172"/>
      <c r="J172"/>
      <c r="K172"/>
      <c r="L172"/>
      <c r="M172"/>
      <c r="N172"/>
      <c r="O172"/>
      <c r="P172"/>
      <c r="Q172"/>
      <c r="R172"/>
      <c r="S172"/>
      <c r="T172"/>
      <c r="U172"/>
      <c r="V172"/>
      <c r="W172"/>
      <c r="X172"/>
      <c r="Y172"/>
      <c r="Z172"/>
      <c r="AA172"/>
      <c r="AB172"/>
      <c r="AC172"/>
      <c r="AD172"/>
      <c r="AE172"/>
      <c r="AF172"/>
      <c r="AG172"/>
      <c r="AH172"/>
      <c r="AI172"/>
    </row>
    <row r="173" spans="1:35" s="33" customFormat="1" ht="15.75">
      <c r="A173" s="175"/>
      <c r="B173" s="163"/>
      <c r="C173" s="123"/>
      <c r="D173" s="123"/>
      <c r="E173" s="32"/>
      <c r="F173"/>
      <c r="G173"/>
      <c r="H173"/>
      <c r="I173"/>
      <c r="J173"/>
      <c r="K173"/>
      <c r="L173"/>
      <c r="M173"/>
      <c r="N173"/>
      <c r="O173"/>
      <c r="P173"/>
      <c r="Q173"/>
      <c r="R173"/>
      <c r="S173"/>
      <c r="T173"/>
      <c r="U173"/>
      <c r="V173"/>
      <c r="W173"/>
      <c r="X173"/>
      <c r="Y173"/>
      <c r="Z173"/>
      <c r="AA173"/>
      <c r="AB173"/>
      <c r="AC173"/>
      <c r="AD173"/>
      <c r="AE173"/>
      <c r="AF173"/>
      <c r="AG173"/>
      <c r="AH173"/>
      <c r="AI173"/>
    </row>
    <row r="174" spans="1:35" s="33" customFormat="1" ht="15.75">
      <c r="A174" s="175"/>
      <c r="B174" s="163"/>
      <c r="C174" s="123"/>
      <c r="D174" s="123"/>
      <c r="E174" s="32"/>
      <c r="F174"/>
      <c r="G174"/>
      <c r="H174"/>
      <c r="I174"/>
      <c r="J174"/>
      <c r="K174"/>
      <c r="L174"/>
      <c r="M174"/>
      <c r="N174"/>
      <c r="O174"/>
      <c r="P174"/>
      <c r="Q174"/>
      <c r="R174"/>
      <c r="S174"/>
      <c r="T174"/>
      <c r="U174"/>
      <c r="V174"/>
      <c r="W174"/>
      <c r="X174"/>
      <c r="Y174"/>
      <c r="Z174"/>
      <c r="AA174"/>
      <c r="AB174"/>
      <c r="AC174"/>
      <c r="AD174"/>
      <c r="AE174"/>
      <c r="AF174"/>
      <c r="AG174"/>
      <c r="AH174"/>
      <c r="AI174"/>
    </row>
    <row r="175" spans="1:35" s="33" customFormat="1" ht="15.75">
      <c r="A175" s="175"/>
      <c r="B175" s="163"/>
      <c r="C175" s="123"/>
      <c r="D175" s="123"/>
      <c r="E175" s="32"/>
      <c r="F175"/>
      <c r="G175"/>
      <c r="H175"/>
      <c r="I175"/>
      <c r="J175"/>
      <c r="K175"/>
      <c r="L175"/>
      <c r="M175"/>
      <c r="N175"/>
      <c r="O175"/>
      <c r="P175"/>
      <c r="Q175"/>
      <c r="R175"/>
      <c r="S175"/>
      <c r="T175"/>
      <c r="U175"/>
      <c r="V175"/>
      <c r="W175"/>
      <c r="X175"/>
      <c r="Y175"/>
      <c r="Z175"/>
      <c r="AA175"/>
      <c r="AB175"/>
      <c r="AC175"/>
      <c r="AD175"/>
      <c r="AE175"/>
      <c r="AF175"/>
      <c r="AG175"/>
      <c r="AH175"/>
      <c r="AI175"/>
    </row>
    <row r="176" spans="1:35" s="33" customFormat="1" ht="15.75">
      <c r="A176" s="175"/>
      <c r="B176" s="163"/>
      <c r="C176" s="123"/>
      <c r="D176" s="123"/>
      <c r="E176" s="32"/>
      <c r="F176"/>
      <c r="G176"/>
      <c r="H176"/>
      <c r="I176"/>
      <c r="J176"/>
      <c r="K176"/>
      <c r="L176"/>
      <c r="M176"/>
      <c r="N176"/>
      <c r="O176"/>
      <c r="P176"/>
      <c r="Q176"/>
      <c r="R176"/>
      <c r="S176"/>
      <c r="T176"/>
      <c r="U176"/>
      <c r="V176"/>
      <c r="W176"/>
      <c r="X176"/>
      <c r="Y176"/>
      <c r="Z176"/>
      <c r="AA176"/>
      <c r="AB176"/>
      <c r="AC176"/>
      <c r="AD176"/>
      <c r="AE176"/>
      <c r="AF176"/>
      <c r="AG176"/>
      <c r="AH176"/>
      <c r="AI176"/>
    </row>
    <row r="177" spans="1:35" s="33" customFormat="1" ht="15.75">
      <c r="A177" s="175"/>
      <c r="B177" s="163"/>
      <c r="C177" s="123"/>
      <c r="D177" s="123"/>
      <c r="E177" s="32"/>
      <c r="F177"/>
      <c r="G177"/>
      <c r="H177"/>
      <c r="I177"/>
      <c r="J177"/>
      <c r="K177"/>
      <c r="L177"/>
      <c r="M177"/>
      <c r="N177"/>
      <c r="O177"/>
      <c r="P177"/>
      <c r="Q177"/>
      <c r="R177"/>
      <c r="S177"/>
      <c r="T177"/>
      <c r="U177"/>
      <c r="V177"/>
      <c r="W177"/>
      <c r="X177"/>
      <c r="Y177"/>
      <c r="Z177"/>
      <c r="AA177"/>
      <c r="AB177"/>
      <c r="AC177"/>
      <c r="AD177"/>
      <c r="AE177"/>
      <c r="AF177"/>
      <c r="AG177"/>
      <c r="AH177"/>
      <c r="AI177"/>
    </row>
    <row r="178" spans="1:35" s="33" customFormat="1" ht="15.75">
      <c r="A178" s="175"/>
      <c r="B178" s="163"/>
      <c r="C178" s="123"/>
      <c r="D178" s="123"/>
      <c r="E178" s="32"/>
      <c r="F178"/>
      <c r="G178"/>
      <c r="H178"/>
      <c r="I178"/>
      <c r="J178"/>
      <c r="K178"/>
      <c r="L178"/>
      <c r="M178"/>
      <c r="N178"/>
      <c r="O178"/>
      <c r="P178"/>
      <c r="Q178"/>
      <c r="R178"/>
      <c r="S178"/>
      <c r="T178"/>
      <c r="U178"/>
      <c r="V178"/>
      <c r="W178"/>
      <c r="X178"/>
      <c r="Y178"/>
      <c r="Z178"/>
      <c r="AA178"/>
      <c r="AB178"/>
      <c r="AC178"/>
      <c r="AD178"/>
      <c r="AE178"/>
      <c r="AF178"/>
      <c r="AG178"/>
      <c r="AH178"/>
      <c r="AI178"/>
    </row>
    <row r="179" spans="1:35" s="33" customFormat="1" ht="15.75">
      <c r="A179" s="175"/>
      <c r="B179" s="163"/>
      <c r="C179" s="123"/>
      <c r="D179" s="123"/>
      <c r="E179" s="32"/>
      <c r="F179"/>
      <c r="G179"/>
      <c r="H179"/>
      <c r="I179"/>
      <c r="J179"/>
      <c r="K179"/>
      <c r="L179"/>
      <c r="M179"/>
      <c r="N179"/>
      <c r="O179"/>
      <c r="P179"/>
      <c r="Q179"/>
      <c r="R179"/>
      <c r="S179"/>
      <c r="T179"/>
      <c r="U179"/>
      <c r="V179"/>
      <c r="W179"/>
      <c r="X179"/>
      <c r="Y179"/>
      <c r="Z179"/>
      <c r="AA179"/>
      <c r="AB179"/>
      <c r="AC179"/>
      <c r="AD179"/>
      <c r="AE179"/>
      <c r="AF179"/>
      <c r="AG179"/>
      <c r="AH179"/>
      <c r="AI179"/>
    </row>
    <row r="180" spans="1:35" s="33" customFormat="1" ht="15.75">
      <c r="A180" s="175"/>
      <c r="B180" s="163"/>
      <c r="C180" s="123"/>
      <c r="D180" s="123"/>
      <c r="E180" s="32"/>
      <c r="F180"/>
      <c r="G180"/>
      <c r="H180"/>
      <c r="I180"/>
      <c r="J180"/>
      <c r="K180"/>
      <c r="L180"/>
      <c r="M180"/>
      <c r="N180"/>
      <c r="O180"/>
      <c r="P180"/>
      <c r="Q180"/>
      <c r="R180"/>
      <c r="S180"/>
      <c r="T180"/>
      <c r="U180"/>
      <c r="V180"/>
      <c r="W180"/>
      <c r="X180"/>
      <c r="Y180"/>
      <c r="Z180"/>
      <c r="AA180"/>
      <c r="AB180"/>
      <c r="AC180"/>
      <c r="AD180"/>
      <c r="AE180"/>
      <c r="AF180"/>
      <c r="AG180"/>
      <c r="AH180"/>
      <c r="AI180"/>
    </row>
    <row r="181" spans="1:35" s="33" customFormat="1" ht="15.75">
      <c r="A181" s="175"/>
      <c r="B181" s="163"/>
      <c r="C181" s="123"/>
      <c r="D181" s="123"/>
      <c r="E181" s="32"/>
      <c r="F181"/>
      <c r="G181"/>
      <c r="H181"/>
      <c r="I181"/>
      <c r="J181"/>
      <c r="K181"/>
      <c r="L181"/>
      <c r="M181"/>
      <c r="N181"/>
      <c r="O181"/>
      <c r="P181"/>
      <c r="Q181"/>
      <c r="R181"/>
      <c r="S181"/>
      <c r="T181"/>
      <c r="U181"/>
      <c r="V181"/>
      <c r="W181"/>
      <c r="X181"/>
      <c r="Y181"/>
      <c r="Z181"/>
      <c r="AA181"/>
      <c r="AB181"/>
      <c r="AC181"/>
      <c r="AD181"/>
      <c r="AE181"/>
      <c r="AF181"/>
      <c r="AG181"/>
      <c r="AH181"/>
      <c r="AI181"/>
    </row>
    <row r="182" spans="1:35" s="33" customFormat="1" ht="15.75">
      <c r="A182" s="175"/>
      <c r="B182" s="163"/>
      <c r="C182" s="123"/>
      <c r="D182" s="123"/>
      <c r="E182" s="32"/>
      <c r="F182"/>
      <c r="G182"/>
      <c r="H182"/>
      <c r="I182"/>
      <c r="J182"/>
      <c r="K182"/>
      <c r="L182"/>
      <c r="M182"/>
      <c r="N182"/>
      <c r="O182"/>
      <c r="P182"/>
      <c r="Q182"/>
      <c r="R182"/>
      <c r="S182"/>
      <c r="T182"/>
      <c r="U182"/>
      <c r="V182"/>
      <c r="W182"/>
      <c r="X182"/>
      <c r="Y182"/>
      <c r="Z182"/>
      <c r="AA182"/>
      <c r="AB182"/>
      <c r="AC182"/>
      <c r="AD182"/>
      <c r="AE182"/>
      <c r="AF182"/>
      <c r="AG182"/>
      <c r="AH182"/>
      <c r="AI182"/>
    </row>
    <row r="183" spans="1:35" s="33" customFormat="1" ht="15.75">
      <c r="A183" s="175"/>
      <c r="B183" s="163"/>
      <c r="C183" s="123"/>
      <c r="D183" s="123"/>
      <c r="E183" s="32"/>
      <c r="F183"/>
      <c r="G183"/>
      <c r="H183"/>
      <c r="I183"/>
      <c r="J183"/>
      <c r="K183"/>
      <c r="L183"/>
      <c r="M183"/>
      <c r="N183"/>
      <c r="O183"/>
      <c r="P183"/>
      <c r="Q183"/>
      <c r="R183"/>
      <c r="S183"/>
      <c r="T183"/>
      <c r="U183"/>
      <c r="V183"/>
      <c r="W183"/>
      <c r="X183"/>
      <c r="Y183"/>
      <c r="Z183"/>
      <c r="AA183"/>
      <c r="AB183"/>
      <c r="AC183"/>
      <c r="AD183"/>
      <c r="AE183"/>
      <c r="AF183"/>
      <c r="AG183"/>
      <c r="AH183"/>
      <c r="AI183"/>
    </row>
    <row r="184" spans="1:35" s="33" customFormat="1" ht="15.75">
      <c r="A184" s="175"/>
      <c r="B184" s="163"/>
      <c r="C184" s="123"/>
      <c r="D184" s="123"/>
      <c r="E184" s="32"/>
      <c r="F184"/>
      <c r="G184"/>
      <c r="H184"/>
      <c r="I184"/>
      <c r="J184"/>
      <c r="K184"/>
      <c r="L184"/>
      <c r="M184"/>
      <c r="N184"/>
      <c r="O184"/>
      <c r="P184"/>
      <c r="Q184"/>
      <c r="R184"/>
      <c r="S184"/>
      <c r="T184"/>
      <c r="U184"/>
      <c r="V184"/>
      <c r="W184"/>
      <c r="X184"/>
      <c r="Y184"/>
      <c r="Z184"/>
      <c r="AA184"/>
      <c r="AB184"/>
      <c r="AC184"/>
      <c r="AD184"/>
      <c r="AE184"/>
      <c r="AF184"/>
      <c r="AG184"/>
      <c r="AH184"/>
      <c r="AI184"/>
    </row>
    <row r="185" spans="1:35" s="33" customFormat="1" ht="15.75">
      <c r="A185" s="175"/>
      <c r="B185" s="163"/>
      <c r="C185" s="123"/>
      <c r="D185" s="123"/>
      <c r="E185" s="32"/>
      <c r="F185"/>
      <c r="G185"/>
      <c r="H185"/>
      <c r="I185"/>
      <c r="J185"/>
      <c r="K185"/>
      <c r="L185"/>
      <c r="M185"/>
      <c r="N185"/>
      <c r="O185"/>
      <c r="P185"/>
      <c r="Q185"/>
      <c r="R185"/>
      <c r="S185"/>
      <c r="T185"/>
      <c r="U185"/>
      <c r="V185"/>
      <c r="W185"/>
      <c r="X185"/>
      <c r="Y185"/>
      <c r="Z185"/>
      <c r="AA185"/>
      <c r="AB185"/>
      <c r="AC185"/>
      <c r="AD185"/>
      <c r="AE185"/>
      <c r="AF185"/>
      <c r="AG185"/>
      <c r="AH185"/>
      <c r="AI185"/>
    </row>
    <row r="186" spans="1:35" s="33" customFormat="1" ht="15.75">
      <c r="A186" s="175"/>
      <c r="B186" s="163"/>
      <c r="C186" s="123"/>
      <c r="D186" s="123"/>
      <c r="E186" s="32"/>
      <c r="F186"/>
      <c r="G186"/>
      <c r="H186"/>
      <c r="I186"/>
      <c r="J186"/>
      <c r="K186"/>
      <c r="L186"/>
      <c r="M186"/>
      <c r="N186"/>
      <c r="O186"/>
      <c r="P186"/>
      <c r="Q186"/>
      <c r="R186"/>
      <c r="S186"/>
      <c r="T186"/>
      <c r="U186"/>
      <c r="V186"/>
      <c r="W186"/>
      <c r="X186"/>
      <c r="Y186"/>
      <c r="Z186"/>
      <c r="AA186"/>
      <c r="AB186"/>
      <c r="AC186"/>
      <c r="AD186"/>
      <c r="AE186"/>
      <c r="AF186"/>
      <c r="AG186"/>
      <c r="AH186"/>
      <c r="AI186"/>
    </row>
    <row r="187" spans="1:35" s="33" customFormat="1" ht="15.75">
      <c r="A187" s="175"/>
      <c r="B187" s="163"/>
      <c r="C187" s="123"/>
      <c r="D187" s="123"/>
      <c r="E187" s="32"/>
      <c r="F187"/>
      <c r="G187"/>
      <c r="H187"/>
      <c r="I187"/>
      <c r="J187"/>
      <c r="K187"/>
      <c r="L187"/>
      <c r="M187"/>
      <c r="N187"/>
      <c r="O187"/>
      <c r="P187"/>
      <c r="Q187"/>
      <c r="R187"/>
      <c r="S187"/>
      <c r="T187"/>
      <c r="U187"/>
      <c r="V187"/>
      <c r="W187"/>
      <c r="X187"/>
      <c r="Y187"/>
      <c r="Z187"/>
      <c r="AA187"/>
      <c r="AB187"/>
      <c r="AC187"/>
      <c r="AD187"/>
      <c r="AE187"/>
      <c r="AF187"/>
      <c r="AG187"/>
      <c r="AH187"/>
      <c r="AI187"/>
    </row>
    <row r="188" spans="1:35" s="33" customFormat="1" ht="15.75">
      <c r="A188" s="175"/>
      <c r="B188" s="163"/>
      <c r="C188" s="123"/>
      <c r="D188" s="123"/>
      <c r="E188" s="32"/>
      <c r="F188"/>
      <c r="G188"/>
      <c r="H188"/>
      <c r="I188"/>
      <c r="J188"/>
      <c r="K188"/>
      <c r="L188"/>
      <c r="M188"/>
      <c r="N188"/>
      <c r="O188"/>
      <c r="P188"/>
      <c r="Q188"/>
      <c r="R188"/>
      <c r="S188"/>
      <c r="T188"/>
      <c r="U188"/>
      <c r="V188"/>
      <c r="W188"/>
      <c r="X188"/>
      <c r="Y188"/>
      <c r="Z188"/>
      <c r="AA188"/>
      <c r="AB188"/>
      <c r="AC188"/>
      <c r="AD188"/>
      <c r="AE188"/>
      <c r="AF188"/>
      <c r="AG188"/>
      <c r="AH188"/>
      <c r="AI188"/>
    </row>
    <row r="189" spans="1:35" s="33" customFormat="1" ht="15.75">
      <c r="A189" s="175"/>
      <c r="B189" s="163"/>
      <c r="C189" s="123"/>
      <c r="D189" s="123"/>
      <c r="E189" s="32"/>
      <c r="F189"/>
      <c r="G189"/>
      <c r="H189"/>
      <c r="I189"/>
      <c r="J189"/>
      <c r="K189"/>
      <c r="L189"/>
      <c r="M189"/>
      <c r="N189"/>
      <c r="O189"/>
      <c r="P189"/>
      <c r="Q189"/>
      <c r="R189"/>
      <c r="S189"/>
      <c r="T189"/>
      <c r="U189"/>
      <c r="V189"/>
      <c r="W189"/>
      <c r="X189"/>
      <c r="Y189"/>
      <c r="Z189"/>
      <c r="AA189"/>
      <c r="AB189"/>
      <c r="AC189"/>
      <c r="AD189"/>
      <c r="AE189"/>
      <c r="AF189"/>
      <c r="AG189"/>
      <c r="AH189"/>
      <c r="AI189"/>
    </row>
    <row r="190" spans="1:35" s="33" customFormat="1" ht="15.75">
      <c r="A190" s="175"/>
      <c r="B190" s="163"/>
      <c r="C190" s="123"/>
      <c r="D190" s="123"/>
      <c r="E190" s="32"/>
      <c r="F190"/>
      <c r="G190"/>
      <c r="H190"/>
      <c r="I190"/>
      <c r="J190"/>
      <c r="K190"/>
      <c r="L190"/>
      <c r="M190"/>
      <c r="N190"/>
      <c r="O190"/>
      <c r="P190"/>
      <c r="Q190"/>
      <c r="R190"/>
      <c r="S190"/>
      <c r="T190"/>
      <c r="U190"/>
      <c r="V190"/>
      <c r="W190"/>
      <c r="X190"/>
      <c r="Y190"/>
      <c r="Z190"/>
      <c r="AA190"/>
      <c r="AB190"/>
      <c r="AC190"/>
      <c r="AD190"/>
      <c r="AE190"/>
      <c r="AF190"/>
      <c r="AG190"/>
      <c r="AH190"/>
      <c r="AI190"/>
    </row>
    <row r="191" spans="1:35" s="33" customFormat="1" ht="15.75">
      <c r="A191" s="175"/>
      <c r="B191" s="163"/>
      <c r="C191" s="123"/>
      <c r="D191" s="123"/>
      <c r="E191" s="32"/>
      <c r="F191"/>
      <c r="G191"/>
      <c r="H191"/>
      <c r="I191"/>
      <c r="J191"/>
      <c r="K191"/>
      <c r="L191"/>
      <c r="M191"/>
      <c r="N191"/>
      <c r="O191"/>
      <c r="P191"/>
      <c r="Q191"/>
      <c r="R191"/>
      <c r="S191"/>
      <c r="T191"/>
      <c r="U191"/>
      <c r="V191"/>
      <c r="W191"/>
      <c r="X191"/>
      <c r="Y191"/>
      <c r="Z191"/>
      <c r="AA191"/>
      <c r="AB191"/>
      <c r="AC191"/>
      <c r="AD191"/>
      <c r="AE191"/>
      <c r="AF191"/>
      <c r="AG191"/>
      <c r="AH191"/>
      <c r="AI191"/>
    </row>
    <row r="192" spans="1:35" s="33" customFormat="1" ht="15.75">
      <c r="A192" s="175"/>
      <c r="B192" s="163"/>
      <c r="C192" s="123"/>
      <c r="D192" s="123"/>
      <c r="E192" s="32"/>
      <c r="F192"/>
      <c r="G192"/>
      <c r="H192"/>
      <c r="I192"/>
      <c r="J192"/>
      <c r="K192"/>
      <c r="L192"/>
      <c r="M192"/>
      <c r="N192"/>
      <c r="O192"/>
      <c r="P192"/>
      <c r="Q192"/>
      <c r="R192"/>
      <c r="S192"/>
      <c r="T192"/>
      <c r="U192"/>
      <c r="V192"/>
      <c r="W192"/>
      <c r="X192"/>
      <c r="Y192"/>
      <c r="Z192"/>
      <c r="AA192"/>
      <c r="AB192"/>
      <c r="AC192"/>
      <c r="AD192"/>
      <c r="AE192"/>
      <c r="AF192"/>
      <c r="AG192"/>
      <c r="AH192"/>
      <c r="AI192"/>
    </row>
    <row r="193" spans="1:35" s="33" customFormat="1" ht="15.75">
      <c r="A193" s="175"/>
      <c r="B193" s="163"/>
      <c r="C193" s="123"/>
      <c r="D193" s="123"/>
      <c r="E193" s="32"/>
      <c r="F193"/>
      <c r="G193"/>
      <c r="H193"/>
      <c r="I193"/>
      <c r="J193"/>
      <c r="K193"/>
      <c r="L193"/>
      <c r="M193"/>
      <c r="N193"/>
      <c r="O193"/>
      <c r="P193"/>
      <c r="Q193"/>
      <c r="R193"/>
      <c r="S193"/>
      <c r="T193"/>
      <c r="U193"/>
      <c r="V193"/>
      <c r="W193"/>
      <c r="X193"/>
      <c r="Y193"/>
      <c r="Z193"/>
      <c r="AA193"/>
      <c r="AB193"/>
      <c r="AC193"/>
      <c r="AD193"/>
      <c r="AE193"/>
      <c r="AF193"/>
      <c r="AG193"/>
      <c r="AH193"/>
      <c r="AI193"/>
    </row>
    <row r="194" spans="1:35" s="33" customFormat="1" ht="15.75">
      <c r="A194" s="175"/>
      <c r="B194" s="163"/>
      <c r="C194" s="123"/>
      <c r="D194" s="123"/>
      <c r="E194" s="32"/>
      <c r="F194"/>
      <c r="G194"/>
      <c r="H194"/>
      <c r="I194"/>
      <c r="J194"/>
      <c r="K194"/>
      <c r="L194"/>
      <c r="M194"/>
      <c r="N194"/>
      <c r="O194"/>
      <c r="P194"/>
      <c r="Q194"/>
      <c r="R194"/>
      <c r="S194"/>
      <c r="T194"/>
      <c r="U194"/>
      <c r="V194"/>
      <c r="W194"/>
      <c r="X194"/>
      <c r="Y194"/>
      <c r="Z194"/>
      <c r="AA194"/>
      <c r="AB194"/>
      <c r="AC194"/>
      <c r="AD194"/>
      <c r="AE194"/>
      <c r="AF194"/>
      <c r="AG194"/>
      <c r="AH194"/>
      <c r="AI194"/>
    </row>
    <row r="195" spans="1:35" s="33" customFormat="1" ht="15.75">
      <c r="A195" s="175"/>
      <c r="B195" s="163"/>
      <c r="C195" s="123"/>
      <c r="D195" s="123"/>
      <c r="E195" s="32"/>
      <c r="F195"/>
      <c r="G195"/>
      <c r="H195"/>
      <c r="I195"/>
      <c r="J195"/>
      <c r="K195"/>
      <c r="L195"/>
      <c r="M195"/>
      <c r="N195"/>
      <c r="O195"/>
      <c r="P195"/>
      <c r="Q195"/>
      <c r="R195"/>
      <c r="S195"/>
      <c r="T195"/>
      <c r="U195"/>
      <c r="V195"/>
      <c r="W195"/>
      <c r="X195"/>
      <c r="Y195"/>
      <c r="Z195"/>
      <c r="AA195"/>
      <c r="AB195"/>
      <c r="AC195"/>
      <c r="AD195"/>
      <c r="AE195"/>
      <c r="AF195"/>
      <c r="AG195"/>
      <c r="AH195"/>
      <c r="AI195"/>
    </row>
    <row r="196" spans="1:35" s="33" customFormat="1" ht="15.75">
      <c r="A196" s="175"/>
      <c r="B196" s="163"/>
      <c r="C196" s="123"/>
      <c r="D196" s="123"/>
      <c r="E196" s="32"/>
      <c r="F196"/>
      <c r="G196"/>
      <c r="H196"/>
      <c r="I196"/>
      <c r="J196"/>
      <c r="K196"/>
      <c r="L196"/>
      <c r="M196"/>
      <c r="N196"/>
      <c r="O196"/>
      <c r="P196"/>
      <c r="Q196"/>
      <c r="R196"/>
      <c r="S196"/>
      <c r="T196"/>
      <c r="U196"/>
      <c r="V196"/>
      <c r="W196"/>
      <c r="X196"/>
      <c r="Y196"/>
      <c r="Z196"/>
      <c r="AA196"/>
      <c r="AB196"/>
      <c r="AC196"/>
      <c r="AD196"/>
      <c r="AE196"/>
      <c r="AF196"/>
      <c r="AG196"/>
      <c r="AH196"/>
      <c r="AI196"/>
    </row>
    <row r="197" spans="1:35" s="33" customFormat="1" ht="15.75">
      <c r="A197" s="175"/>
      <c r="B197" s="163"/>
      <c r="C197" s="123"/>
      <c r="D197" s="123"/>
      <c r="E197" s="32"/>
      <c r="F197"/>
      <c r="G197"/>
      <c r="H197"/>
      <c r="I197"/>
      <c r="J197"/>
      <c r="K197"/>
      <c r="L197"/>
      <c r="M197"/>
      <c r="N197"/>
      <c r="O197"/>
      <c r="P197"/>
      <c r="Q197"/>
      <c r="R197"/>
      <c r="S197"/>
      <c r="T197"/>
      <c r="U197"/>
      <c r="V197"/>
      <c r="W197"/>
      <c r="X197"/>
      <c r="Y197"/>
      <c r="Z197"/>
      <c r="AA197"/>
      <c r="AB197"/>
      <c r="AC197"/>
      <c r="AD197"/>
      <c r="AE197"/>
      <c r="AF197"/>
      <c r="AG197"/>
      <c r="AH197"/>
      <c r="AI197"/>
    </row>
    <row r="198" spans="1:35" s="33" customFormat="1" ht="15.75">
      <c r="A198" s="175"/>
      <c r="B198" s="163"/>
      <c r="C198" s="123"/>
      <c r="D198" s="123"/>
      <c r="E198" s="32"/>
      <c r="F198"/>
      <c r="G198"/>
      <c r="H198"/>
      <c r="I198"/>
      <c r="J198"/>
      <c r="K198"/>
      <c r="L198"/>
      <c r="M198"/>
      <c r="N198"/>
      <c r="O198"/>
      <c r="P198"/>
      <c r="Q198"/>
      <c r="R198"/>
      <c r="S198"/>
      <c r="T198"/>
      <c r="U198"/>
      <c r="V198"/>
      <c r="W198"/>
      <c r="X198"/>
      <c r="Y198"/>
      <c r="Z198"/>
      <c r="AA198"/>
      <c r="AB198"/>
      <c r="AC198"/>
      <c r="AD198"/>
      <c r="AE198"/>
      <c r="AF198"/>
      <c r="AG198"/>
      <c r="AH198"/>
      <c r="AI198"/>
    </row>
    <row r="199" spans="1:35" s="33" customFormat="1" ht="15.75">
      <c r="A199" s="175"/>
      <c r="B199" s="163"/>
      <c r="C199" s="123"/>
      <c r="D199" s="123"/>
      <c r="E199" s="32"/>
      <c r="F199"/>
      <c r="G199"/>
      <c r="H199"/>
      <c r="I199"/>
      <c r="J199"/>
      <c r="K199"/>
      <c r="L199"/>
      <c r="M199"/>
      <c r="N199"/>
      <c r="O199"/>
      <c r="P199"/>
      <c r="Q199"/>
      <c r="R199"/>
      <c r="S199"/>
      <c r="T199"/>
      <c r="U199"/>
      <c r="V199"/>
      <c r="W199"/>
      <c r="X199"/>
      <c r="Y199"/>
      <c r="Z199"/>
      <c r="AA199"/>
      <c r="AB199"/>
      <c r="AC199"/>
      <c r="AD199"/>
      <c r="AE199"/>
      <c r="AF199"/>
      <c r="AG199"/>
      <c r="AH199"/>
      <c r="AI199"/>
    </row>
    <row r="200" spans="1:35" s="33" customFormat="1" ht="15.75">
      <c r="A200" s="175"/>
      <c r="B200" s="163"/>
      <c r="C200" s="123"/>
      <c r="D200" s="123"/>
      <c r="E200" s="32"/>
      <c r="F200"/>
      <c r="G200"/>
      <c r="H200"/>
      <c r="I200"/>
      <c r="J200"/>
      <c r="K200"/>
      <c r="L200"/>
      <c r="M200"/>
      <c r="N200"/>
      <c r="O200"/>
      <c r="P200"/>
      <c r="Q200"/>
      <c r="R200"/>
      <c r="S200"/>
      <c r="T200"/>
      <c r="U200"/>
      <c r="V200"/>
      <c r="W200"/>
      <c r="X200"/>
      <c r="Y200"/>
      <c r="Z200"/>
      <c r="AA200"/>
      <c r="AB200"/>
      <c r="AC200"/>
      <c r="AD200"/>
      <c r="AE200"/>
      <c r="AF200"/>
      <c r="AG200"/>
      <c r="AH200"/>
      <c r="AI200"/>
    </row>
    <row r="201" spans="1:35" s="33" customFormat="1" ht="15.75">
      <c r="A201" s="175"/>
      <c r="B201" s="163"/>
      <c r="C201" s="123"/>
      <c r="D201" s="123"/>
      <c r="E201" s="32"/>
      <c r="F201"/>
      <c r="G201"/>
      <c r="H201"/>
      <c r="I201"/>
      <c r="J201"/>
      <c r="K201"/>
      <c r="L201"/>
      <c r="M201"/>
      <c r="N201"/>
      <c r="O201"/>
      <c r="P201"/>
      <c r="Q201"/>
      <c r="R201"/>
      <c r="S201"/>
      <c r="T201"/>
      <c r="U201"/>
      <c r="V201"/>
      <c r="W201"/>
      <c r="X201"/>
      <c r="Y201"/>
      <c r="Z201"/>
      <c r="AA201"/>
      <c r="AB201"/>
      <c r="AC201"/>
      <c r="AD201"/>
      <c r="AE201"/>
      <c r="AF201"/>
      <c r="AG201"/>
      <c r="AH201"/>
      <c r="AI201"/>
    </row>
    <row r="202" spans="1:35" s="33" customFormat="1" ht="15.75">
      <c r="A202" s="175"/>
      <c r="B202" s="163"/>
      <c r="C202" s="123"/>
      <c r="D202" s="123"/>
      <c r="E202" s="32"/>
      <c r="F202"/>
      <c r="G202"/>
      <c r="H202"/>
      <c r="I202"/>
      <c r="J202"/>
      <c r="K202"/>
      <c r="L202"/>
      <c r="M202"/>
      <c r="N202"/>
      <c r="O202"/>
      <c r="P202"/>
      <c r="Q202"/>
      <c r="R202"/>
      <c r="S202"/>
      <c r="T202"/>
      <c r="U202"/>
      <c r="V202"/>
      <c r="W202"/>
      <c r="X202"/>
      <c r="Y202"/>
      <c r="Z202"/>
      <c r="AA202"/>
      <c r="AB202"/>
      <c r="AC202"/>
      <c r="AD202"/>
      <c r="AE202"/>
      <c r="AF202"/>
      <c r="AG202"/>
      <c r="AH202"/>
      <c r="AI202"/>
    </row>
    <row r="203" spans="1:35" s="33" customFormat="1" ht="15.75">
      <c r="A203" s="175"/>
      <c r="B203" s="163"/>
      <c r="C203" s="123"/>
      <c r="D203" s="123"/>
      <c r="E203" s="32"/>
      <c r="F203"/>
      <c r="G203"/>
      <c r="H203"/>
      <c r="I203"/>
      <c r="J203"/>
      <c r="K203"/>
      <c r="L203"/>
      <c r="M203"/>
      <c r="N203"/>
      <c r="O203"/>
      <c r="P203"/>
      <c r="Q203"/>
      <c r="R203"/>
      <c r="S203"/>
      <c r="T203"/>
      <c r="U203"/>
      <c r="V203"/>
      <c r="W203"/>
      <c r="X203"/>
      <c r="Y203"/>
      <c r="Z203"/>
      <c r="AA203"/>
      <c r="AB203"/>
      <c r="AC203"/>
      <c r="AD203"/>
      <c r="AE203"/>
      <c r="AF203"/>
      <c r="AG203"/>
      <c r="AH203"/>
      <c r="AI203"/>
    </row>
    <row r="204" spans="1:35" s="33" customFormat="1" ht="15.75">
      <c r="A204" s="175"/>
      <c r="B204" s="163"/>
      <c r="C204" s="123"/>
      <c r="D204" s="123"/>
      <c r="E204" s="32"/>
      <c r="F204"/>
      <c r="G204"/>
      <c r="H204"/>
      <c r="I204"/>
      <c r="J204"/>
      <c r="K204"/>
      <c r="L204"/>
      <c r="M204"/>
      <c r="N204"/>
      <c r="O204"/>
      <c r="P204"/>
      <c r="Q204"/>
      <c r="R204"/>
      <c r="S204"/>
      <c r="T204"/>
      <c r="U204"/>
      <c r="V204"/>
      <c r="W204"/>
      <c r="X204"/>
      <c r="Y204"/>
      <c r="Z204"/>
      <c r="AA204"/>
      <c r="AB204"/>
      <c r="AC204"/>
      <c r="AD204"/>
      <c r="AE204"/>
      <c r="AF204"/>
      <c r="AG204"/>
      <c r="AH204"/>
      <c r="AI204"/>
    </row>
    <row r="205" spans="1:35" s="33" customFormat="1" ht="15.75">
      <c r="A205" s="175"/>
      <c r="B205" s="163"/>
      <c r="C205" s="123"/>
      <c r="D205" s="123"/>
      <c r="E205" s="32"/>
      <c r="F205"/>
      <c r="G205"/>
      <c r="H205"/>
      <c r="I205"/>
      <c r="J205"/>
      <c r="K205"/>
      <c r="L205"/>
      <c r="M205"/>
      <c r="N205"/>
      <c r="O205"/>
      <c r="P205"/>
      <c r="Q205"/>
      <c r="R205"/>
      <c r="S205"/>
      <c r="T205"/>
      <c r="U205"/>
      <c r="V205"/>
      <c r="W205"/>
      <c r="X205"/>
      <c r="Y205"/>
      <c r="Z205"/>
      <c r="AA205"/>
      <c r="AB205"/>
      <c r="AC205"/>
      <c r="AD205"/>
      <c r="AE205"/>
      <c r="AF205"/>
      <c r="AG205"/>
      <c r="AH205"/>
      <c r="AI205"/>
    </row>
    <row r="206" spans="1:35" s="33" customFormat="1" ht="15.75">
      <c r="A206" s="175"/>
      <c r="B206" s="163"/>
      <c r="C206" s="123"/>
      <c r="D206" s="123"/>
      <c r="E206" s="32"/>
      <c r="F206"/>
      <c r="G206"/>
      <c r="H206"/>
      <c r="I206"/>
      <c r="J206"/>
      <c r="K206"/>
      <c r="L206"/>
      <c r="M206"/>
      <c r="N206"/>
      <c r="O206"/>
      <c r="P206"/>
      <c r="Q206"/>
      <c r="R206"/>
      <c r="S206"/>
      <c r="T206"/>
      <c r="U206"/>
      <c r="V206"/>
      <c r="W206"/>
      <c r="X206"/>
      <c r="Y206"/>
      <c r="Z206"/>
      <c r="AA206"/>
      <c r="AB206"/>
      <c r="AC206"/>
      <c r="AD206"/>
      <c r="AE206"/>
      <c r="AF206"/>
      <c r="AG206"/>
      <c r="AH206"/>
      <c r="AI206"/>
    </row>
    <row r="207" spans="1:35" s="33" customFormat="1" ht="15.75">
      <c r="A207" s="175"/>
      <c r="B207" s="163"/>
      <c r="C207" s="123"/>
      <c r="D207" s="123"/>
      <c r="E207" s="32"/>
      <c r="F207"/>
      <c r="G207"/>
      <c r="H207"/>
      <c r="I207"/>
      <c r="J207"/>
      <c r="K207"/>
      <c r="L207"/>
      <c r="M207"/>
      <c r="N207"/>
      <c r="O207"/>
      <c r="P207"/>
      <c r="Q207"/>
      <c r="R207"/>
      <c r="S207"/>
      <c r="T207"/>
      <c r="U207"/>
      <c r="V207"/>
      <c r="W207"/>
      <c r="X207"/>
      <c r="Y207"/>
      <c r="Z207"/>
      <c r="AA207"/>
      <c r="AB207"/>
      <c r="AC207"/>
      <c r="AD207"/>
      <c r="AE207"/>
      <c r="AF207"/>
      <c r="AG207"/>
      <c r="AH207"/>
      <c r="AI207"/>
    </row>
    <row r="208" spans="1:35" s="33" customFormat="1" ht="15.75">
      <c r="A208" s="175"/>
      <c r="B208" s="163"/>
      <c r="C208" s="123"/>
      <c r="D208" s="123"/>
      <c r="E208" s="32"/>
      <c r="F208"/>
      <c r="G208"/>
      <c r="H208"/>
      <c r="I208"/>
      <c r="J208"/>
      <c r="K208"/>
      <c r="L208"/>
      <c r="M208"/>
      <c r="N208"/>
      <c r="O208"/>
      <c r="P208"/>
      <c r="Q208"/>
      <c r="R208"/>
      <c r="S208"/>
      <c r="T208"/>
      <c r="U208"/>
      <c r="V208"/>
      <c r="W208"/>
      <c r="X208"/>
      <c r="Y208"/>
      <c r="Z208"/>
      <c r="AA208"/>
      <c r="AB208"/>
      <c r="AC208"/>
      <c r="AD208"/>
      <c r="AE208"/>
      <c r="AF208"/>
      <c r="AG208"/>
      <c r="AH208"/>
      <c r="AI208"/>
    </row>
    <row r="209" spans="1:35" s="33" customFormat="1" ht="15.75">
      <c r="A209" s="175"/>
      <c r="B209" s="163"/>
      <c r="C209" s="123"/>
      <c r="D209" s="123"/>
      <c r="E209" s="32"/>
      <c r="F209"/>
      <c r="G209"/>
      <c r="H209"/>
      <c r="I209"/>
      <c r="J209"/>
      <c r="K209"/>
      <c r="L209"/>
      <c r="M209"/>
      <c r="N209"/>
      <c r="O209"/>
      <c r="P209"/>
      <c r="Q209"/>
      <c r="R209"/>
      <c r="S209"/>
      <c r="T209"/>
      <c r="U209"/>
      <c r="V209"/>
      <c r="W209"/>
      <c r="X209"/>
      <c r="Y209"/>
      <c r="Z209"/>
      <c r="AA209"/>
      <c r="AB209"/>
      <c r="AC209"/>
      <c r="AD209"/>
      <c r="AE209"/>
      <c r="AF209"/>
      <c r="AG209"/>
      <c r="AH209"/>
      <c r="AI209"/>
    </row>
    <row r="210" spans="1:35" s="33" customFormat="1" ht="15.75">
      <c r="A210" s="175"/>
      <c r="B210" s="163"/>
      <c r="C210" s="123"/>
      <c r="D210" s="123"/>
      <c r="E210" s="32"/>
      <c r="F210"/>
      <c r="G210"/>
      <c r="H210"/>
      <c r="I210"/>
      <c r="J210"/>
      <c r="K210"/>
      <c r="L210"/>
      <c r="M210"/>
      <c r="N210"/>
      <c r="O210"/>
      <c r="P210"/>
      <c r="Q210"/>
      <c r="R210"/>
      <c r="S210"/>
      <c r="T210"/>
      <c r="U210"/>
      <c r="V210"/>
      <c r="W210"/>
      <c r="X210"/>
      <c r="Y210"/>
      <c r="Z210"/>
      <c r="AA210"/>
      <c r="AB210"/>
      <c r="AC210"/>
      <c r="AD210"/>
      <c r="AE210"/>
      <c r="AF210"/>
      <c r="AG210"/>
      <c r="AH210"/>
      <c r="AI210"/>
    </row>
    <row r="211" spans="1:35" s="33" customFormat="1" ht="15.75">
      <c r="A211" s="175"/>
      <c r="B211" s="163"/>
      <c r="C211" s="123"/>
      <c r="D211" s="123"/>
      <c r="E211" s="32"/>
      <c r="F211"/>
      <c r="G211"/>
      <c r="H211"/>
      <c r="I211"/>
      <c r="J211"/>
      <c r="K211"/>
      <c r="L211"/>
      <c r="M211"/>
      <c r="N211"/>
      <c r="O211"/>
      <c r="P211"/>
      <c r="Q211"/>
      <c r="R211"/>
      <c r="S211"/>
      <c r="T211"/>
      <c r="U211"/>
      <c r="V211"/>
      <c r="W211"/>
      <c r="X211"/>
      <c r="Y211"/>
      <c r="Z211"/>
      <c r="AA211"/>
      <c r="AB211"/>
      <c r="AC211"/>
      <c r="AD211"/>
      <c r="AE211"/>
      <c r="AF211"/>
      <c r="AG211"/>
      <c r="AH211"/>
      <c r="AI211"/>
    </row>
    <row r="212" spans="1:35" s="33" customFormat="1" ht="15.75">
      <c r="A212" s="175"/>
      <c r="B212" s="163"/>
      <c r="C212" s="123"/>
      <c r="D212" s="123"/>
      <c r="E212" s="32"/>
      <c r="F212"/>
      <c r="G212"/>
      <c r="H212"/>
      <c r="I212"/>
      <c r="J212"/>
      <c r="K212"/>
      <c r="L212"/>
      <c r="M212"/>
      <c r="N212"/>
      <c r="O212"/>
      <c r="P212"/>
      <c r="Q212"/>
      <c r="R212"/>
      <c r="S212"/>
      <c r="T212"/>
      <c r="U212"/>
      <c r="V212"/>
      <c r="W212"/>
      <c r="X212"/>
      <c r="Y212"/>
      <c r="Z212"/>
      <c r="AA212"/>
      <c r="AB212"/>
      <c r="AC212"/>
      <c r="AD212"/>
      <c r="AE212"/>
      <c r="AF212"/>
      <c r="AG212"/>
      <c r="AH212"/>
      <c r="AI212"/>
    </row>
    <row r="213" spans="1:35" s="33" customFormat="1" ht="15.75">
      <c r="A213" s="175"/>
      <c r="B213" s="163"/>
      <c r="C213" s="123"/>
      <c r="D213" s="123"/>
      <c r="E213" s="32"/>
      <c r="F213"/>
      <c r="G213"/>
      <c r="H213"/>
      <c r="I213"/>
      <c r="J213"/>
      <c r="K213"/>
      <c r="L213"/>
      <c r="M213"/>
      <c r="N213"/>
      <c r="O213"/>
      <c r="P213"/>
      <c r="Q213"/>
      <c r="R213"/>
      <c r="S213"/>
      <c r="T213"/>
      <c r="U213"/>
      <c r="V213"/>
      <c r="W213"/>
      <c r="X213"/>
      <c r="Y213"/>
      <c r="Z213"/>
      <c r="AA213"/>
      <c r="AB213"/>
      <c r="AC213"/>
      <c r="AD213"/>
      <c r="AE213"/>
      <c r="AF213"/>
      <c r="AG213"/>
      <c r="AH213"/>
      <c r="AI213"/>
    </row>
    <row r="214" spans="1:35" s="33" customFormat="1" ht="15.75">
      <c r="A214" s="175"/>
      <c r="B214" s="163"/>
      <c r="C214" s="123"/>
      <c r="D214" s="123"/>
      <c r="E214" s="32"/>
      <c r="F214"/>
      <c r="G214"/>
      <c r="H214"/>
      <c r="I214"/>
      <c r="J214"/>
      <c r="K214"/>
      <c r="L214"/>
      <c r="M214"/>
      <c r="N214"/>
      <c r="O214"/>
      <c r="P214"/>
      <c r="Q214"/>
      <c r="R214"/>
      <c r="S214"/>
      <c r="T214"/>
      <c r="U214"/>
      <c r="V214"/>
      <c r="W214"/>
      <c r="X214"/>
      <c r="Y214"/>
      <c r="Z214"/>
      <c r="AA214"/>
      <c r="AB214"/>
      <c r="AC214"/>
      <c r="AD214"/>
      <c r="AE214"/>
      <c r="AF214"/>
      <c r="AG214"/>
      <c r="AH214"/>
      <c r="AI214"/>
    </row>
    <row r="215" spans="1:35" s="33" customFormat="1" ht="15.75">
      <c r="A215" s="175"/>
      <c r="B215" s="163"/>
      <c r="C215" s="123"/>
      <c r="D215" s="123"/>
      <c r="E215" s="32"/>
      <c r="F215"/>
      <c r="G215"/>
      <c r="H215"/>
      <c r="I215"/>
      <c r="J215"/>
      <c r="K215"/>
      <c r="L215"/>
      <c r="M215"/>
      <c r="N215"/>
      <c r="O215"/>
      <c r="P215"/>
      <c r="Q215"/>
      <c r="R215"/>
      <c r="S215"/>
      <c r="T215"/>
      <c r="U215"/>
      <c r="V215"/>
      <c r="W215"/>
      <c r="X215"/>
      <c r="Y215"/>
      <c r="Z215"/>
      <c r="AA215"/>
      <c r="AB215"/>
      <c r="AC215"/>
      <c r="AD215"/>
      <c r="AE215"/>
      <c r="AF215"/>
      <c r="AG215"/>
      <c r="AH215"/>
      <c r="AI215"/>
    </row>
    <row r="216" spans="1:35" s="33" customFormat="1" ht="15.75">
      <c r="A216" s="175"/>
      <c r="B216" s="163"/>
      <c r="C216" s="123"/>
      <c r="D216" s="123"/>
      <c r="E216" s="32"/>
      <c r="F216"/>
      <c r="G216"/>
      <c r="H216"/>
      <c r="I216"/>
      <c r="J216"/>
      <c r="K216"/>
      <c r="L216"/>
      <c r="M216"/>
      <c r="N216"/>
      <c r="O216"/>
      <c r="P216"/>
      <c r="Q216"/>
      <c r="R216"/>
      <c r="S216"/>
      <c r="T216"/>
      <c r="U216"/>
      <c r="V216"/>
      <c r="W216"/>
      <c r="X216"/>
      <c r="Y216"/>
      <c r="Z216"/>
      <c r="AA216"/>
      <c r="AB216"/>
      <c r="AC216"/>
      <c r="AD216"/>
      <c r="AE216"/>
      <c r="AF216"/>
      <c r="AG216"/>
      <c r="AH216"/>
      <c r="AI216"/>
    </row>
    <row r="217" spans="1:35" s="33" customFormat="1" ht="15.75">
      <c r="A217" s="175"/>
      <c r="B217" s="163"/>
      <c r="C217" s="123"/>
      <c r="D217" s="123"/>
      <c r="E217" s="32"/>
      <c r="F217"/>
      <c r="G217"/>
      <c r="H217"/>
      <c r="I217"/>
      <c r="J217"/>
      <c r="K217"/>
      <c r="L217"/>
      <c r="M217"/>
      <c r="N217"/>
      <c r="O217"/>
      <c r="P217"/>
      <c r="Q217"/>
      <c r="R217"/>
      <c r="S217"/>
      <c r="T217"/>
      <c r="U217"/>
      <c r="V217"/>
      <c r="W217"/>
      <c r="X217"/>
      <c r="Y217"/>
      <c r="Z217"/>
      <c r="AA217"/>
      <c r="AB217"/>
      <c r="AC217"/>
      <c r="AD217"/>
      <c r="AE217"/>
      <c r="AF217"/>
      <c r="AG217"/>
      <c r="AH217"/>
      <c r="AI217"/>
    </row>
    <row r="218" spans="1:35" s="33" customFormat="1" ht="15.75">
      <c r="A218" s="175"/>
      <c r="B218" s="163"/>
      <c r="C218" s="123"/>
      <c r="D218" s="123"/>
      <c r="E218" s="32"/>
      <c r="F218"/>
      <c r="G218"/>
      <c r="H218"/>
      <c r="I218"/>
      <c r="J218"/>
      <c r="K218"/>
      <c r="L218"/>
      <c r="M218"/>
      <c r="N218"/>
      <c r="O218"/>
      <c r="P218"/>
      <c r="Q218"/>
      <c r="R218"/>
      <c r="S218"/>
      <c r="T218"/>
      <c r="U218"/>
      <c r="V218"/>
      <c r="W218"/>
      <c r="X218"/>
      <c r="Y218"/>
      <c r="Z218"/>
      <c r="AA218"/>
      <c r="AB218"/>
      <c r="AC218"/>
      <c r="AD218"/>
      <c r="AE218"/>
      <c r="AF218"/>
      <c r="AG218"/>
      <c r="AH218"/>
      <c r="AI218"/>
    </row>
    <row r="219" spans="1:35" s="33" customFormat="1" ht="15.75">
      <c r="A219" s="175"/>
      <c r="B219" s="163"/>
      <c r="C219" s="123"/>
      <c r="D219" s="123"/>
      <c r="E219" s="32"/>
      <c r="F219"/>
      <c r="G219"/>
      <c r="H219"/>
      <c r="I219"/>
      <c r="J219"/>
      <c r="K219"/>
      <c r="L219"/>
      <c r="M219"/>
      <c r="N219"/>
      <c r="O219"/>
      <c r="P219"/>
      <c r="Q219"/>
      <c r="R219"/>
      <c r="S219"/>
      <c r="T219"/>
      <c r="U219"/>
      <c r="V219"/>
      <c r="W219"/>
      <c r="X219"/>
      <c r="Y219"/>
      <c r="Z219"/>
      <c r="AA219"/>
      <c r="AB219"/>
      <c r="AC219"/>
      <c r="AD219"/>
      <c r="AE219"/>
      <c r="AF219"/>
      <c r="AG219"/>
      <c r="AH219"/>
      <c r="AI219"/>
    </row>
    <row r="220" spans="1:35" s="33" customFormat="1" ht="15.75">
      <c r="A220" s="175"/>
      <c r="B220" s="163"/>
      <c r="C220" s="123"/>
      <c r="D220" s="123"/>
      <c r="E220" s="32"/>
      <c r="F220"/>
      <c r="G220"/>
      <c r="H220"/>
      <c r="I220"/>
      <c r="J220"/>
      <c r="K220"/>
      <c r="L220"/>
      <c r="M220"/>
      <c r="N220"/>
      <c r="O220"/>
      <c r="P220"/>
      <c r="Q220"/>
      <c r="R220"/>
      <c r="S220"/>
      <c r="T220"/>
      <c r="U220"/>
      <c r="V220"/>
      <c r="W220"/>
      <c r="X220"/>
      <c r="Y220"/>
      <c r="Z220"/>
      <c r="AA220"/>
      <c r="AB220"/>
      <c r="AC220"/>
      <c r="AD220"/>
      <c r="AE220"/>
      <c r="AF220"/>
      <c r="AG220"/>
      <c r="AH220"/>
      <c r="AI220"/>
    </row>
    <row r="221" spans="1:35" s="33" customFormat="1" ht="15.75">
      <c r="A221" s="175"/>
      <c r="B221" s="163"/>
      <c r="C221" s="123"/>
      <c r="D221" s="123"/>
      <c r="E221" s="32"/>
      <c r="F221"/>
      <c r="G221"/>
      <c r="H221"/>
      <c r="I221"/>
      <c r="J221"/>
      <c r="K221"/>
      <c r="L221"/>
      <c r="M221"/>
      <c r="N221"/>
      <c r="O221"/>
      <c r="P221"/>
      <c r="Q221"/>
      <c r="R221"/>
      <c r="S221"/>
      <c r="T221"/>
      <c r="U221"/>
      <c r="V221"/>
      <c r="W221"/>
      <c r="X221"/>
      <c r="Y221"/>
      <c r="Z221"/>
      <c r="AA221"/>
      <c r="AB221"/>
      <c r="AC221"/>
      <c r="AD221"/>
      <c r="AE221"/>
      <c r="AF221"/>
      <c r="AG221"/>
      <c r="AH221"/>
      <c r="AI221"/>
    </row>
    <row r="222" spans="1:35" s="33" customFormat="1" ht="15.75">
      <c r="A222" s="175"/>
      <c r="B222" s="163"/>
      <c r="C222" s="123"/>
      <c r="D222" s="123"/>
      <c r="E222" s="32"/>
      <c r="F222"/>
      <c r="G222"/>
      <c r="H222"/>
      <c r="I222"/>
      <c r="J222"/>
      <c r="K222"/>
      <c r="L222"/>
      <c r="M222"/>
      <c r="N222"/>
      <c r="O222"/>
      <c r="P222"/>
      <c r="Q222"/>
      <c r="R222"/>
      <c r="S222"/>
      <c r="T222"/>
      <c r="U222"/>
      <c r="V222"/>
      <c r="W222"/>
      <c r="X222"/>
      <c r="Y222"/>
      <c r="Z222"/>
      <c r="AA222"/>
      <c r="AB222"/>
      <c r="AC222"/>
      <c r="AD222"/>
      <c r="AE222"/>
      <c r="AF222"/>
      <c r="AG222"/>
      <c r="AH222"/>
      <c r="AI222"/>
    </row>
    <row r="223" spans="1:35" s="33" customFormat="1" ht="15.75">
      <c r="A223" s="175"/>
      <c r="B223" s="163"/>
      <c r="C223" s="123"/>
      <c r="D223" s="123"/>
      <c r="E223" s="32"/>
      <c r="F223"/>
      <c r="G223"/>
      <c r="H223"/>
      <c r="I223"/>
      <c r="J223"/>
      <c r="K223"/>
      <c r="L223"/>
      <c r="M223"/>
      <c r="N223"/>
      <c r="O223"/>
      <c r="P223"/>
      <c r="Q223"/>
      <c r="R223"/>
      <c r="S223"/>
      <c r="T223"/>
      <c r="U223"/>
      <c r="V223"/>
      <c r="W223"/>
      <c r="X223"/>
      <c r="Y223"/>
      <c r="Z223"/>
      <c r="AA223"/>
      <c r="AB223"/>
      <c r="AC223"/>
      <c r="AD223"/>
      <c r="AE223"/>
      <c r="AF223"/>
      <c r="AG223"/>
      <c r="AH223"/>
      <c r="AI223"/>
    </row>
    <row r="224" spans="1:35" s="33" customFormat="1" ht="15.75">
      <c r="A224" s="175"/>
      <c r="B224" s="163"/>
      <c r="C224" s="123"/>
      <c r="D224" s="123"/>
      <c r="E224" s="32"/>
      <c r="F224"/>
      <c r="G224"/>
      <c r="H224"/>
      <c r="I224"/>
      <c r="J224"/>
      <c r="K224"/>
      <c r="L224"/>
      <c r="M224"/>
      <c r="N224"/>
      <c r="O224"/>
      <c r="P224"/>
      <c r="Q224"/>
      <c r="R224"/>
      <c r="S224"/>
      <c r="T224"/>
      <c r="U224"/>
      <c r="V224"/>
      <c r="W224"/>
      <c r="X224"/>
      <c r="Y224"/>
      <c r="Z224"/>
      <c r="AA224"/>
      <c r="AB224"/>
      <c r="AC224"/>
      <c r="AD224"/>
      <c r="AE224"/>
      <c r="AF224"/>
      <c r="AG224"/>
      <c r="AH224"/>
      <c r="AI224"/>
    </row>
    <row r="225" spans="1:35" s="33" customFormat="1" ht="15.75">
      <c r="A225" s="175"/>
      <c r="B225" s="163"/>
      <c r="C225" s="123"/>
      <c r="D225" s="123"/>
      <c r="E225" s="32"/>
      <c r="F225"/>
      <c r="G225"/>
      <c r="H225"/>
      <c r="I225"/>
      <c r="J225"/>
      <c r="K225"/>
      <c r="L225"/>
      <c r="M225"/>
      <c r="N225"/>
      <c r="O225"/>
      <c r="P225"/>
      <c r="Q225"/>
      <c r="R225"/>
      <c r="S225"/>
      <c r="T225"/>
      <c r="U225"/>
      <c r="V225"/>
      <c r="W225"/>
      <c r="X225"/>
      <c r="Y225"/>
      <c r="Z225"/>
      <c r="AA225"/>
      <c r="AB225"/>
      <c r="AC225"/>
      <c r="AD225"/>
      <c r="AE225"/>
      <c r="AF225"/>
      <c r="AG225"/>
      <c r="AH225"/>
      <c r="AI225"/>
    </row>
    <row r="226" spans="1:35" s="33" customFormat="1" ht="15.75">
      <c r="A226" s="175"/>
      <c r="B226" s="163"/>
      <c r="C226" s="123"/>
      <c r="D226" s="123"/>
      <c r="E226" s="32"/>
      <c r="F226"/>
      <c r="G226"/>
      <c r="H226"/>
      <c r="I226"/>
      <c r="J226"/>
      <c r="K226"/>
      <c r="L226"/>
      <c r="M226"/>
      <c r="N226"/>
      <c r="O226"/>
      <c r="P226"/>
      <c r="Q226"/>
      <c r="R226"/>
      <c r="S226"/>
      <c r="T226"/>
      <c r="U226"/>
      <c r="V226"/>
      <c r="W226"/>
      <c r="X226"/>
      <c r="Y226"/>
      <c r="Z226"/>
      <c r="AA226"/>
      <c r="AB226"/>
      <c r="AC226"/>
      <c r="AD226"/>
      <c r="AE226"/>
      <c r="AF226"/>
      <c r="AG226"/>
      <c r="AH226"/>
      <c r="AI226"/>
    </row>
    <row r="227" spans="1:35" s="33" customFormat="1" ht="15.75">
      <c r="A227" s="175"/>
      <c r="B227" s="163"/>
      <c r="C227" s="123"/>
      <c r="D227" s="123"/>
      <c r="E227" s="32"/>
      <c r="F227"/>
      <c r="G227"/>
      <c r="H227"/>
      <c r="I227"/>
      <c r="J227"/>
      <c r="K227"/>
      <c r="L227"/>
      <c r="M227"/>
      <c r="N227"/>
      <c r="O227"/>
      <c r="P227"/>
      <c r="Q227"/>
      <c r="R227"/>
      <c r="S227"/>
      <c r="T227"/>
      <c r="U227"/>
      <c r="V227"/>
      <c r="W227"/>
      <c r="X227"/>
      <c r="Y227"/>
      <c r="Z227"/>
      <c r="AA227"/>
      <c r="AB227"/>
      <c r="AC227"/>
      <c r="AD227"/>
      <c r="AE227"/>
      <c r="AF227"/>
      <c r="AG227"/>
      <c r="AH227"/>
      <c r="AI227"/>
    </row>
    <row r="228" spans="1:35" s="33" customFormat="1" ht="15.75">
      <c r="A228" s="175"/>
      <c r="B228" s="163"/>
      <c r="C228" s="123"/>
      <c r="D228" s="123"/>
      <c r="E228" s="32"/>
      <c r="F228"/>
      <c r="G228"/>
      <c r="H228"/>
      <c r="I228"/>
      <c r="J228"/>
      <c r="K228"/>
      <c r="L228"/>
      <c r="M228"/>
      <c r="N228"/>
      <c r="O228"/>
      <c r="P228"/>
      <c r="Q228"/>
      <c r="R228"/>
      <c r="S228"/>
      <c r="T228"/>
      <c r="U228"/>
      <c r="V228"/>
      <c r="W228"/>
      <c r="X228"/>
      <c r="Y228"/>
      <c r="Z228"/>
      <c r="AA228"/>
      <c r="AB228"/>
      <c r="AC228"/>
      <c r="AD228"/>
      <c r="AE228"/>
      <c r="AF228"/>
      <c r="AG228"/>
      <c r="AH228"/>
      <c r="AI228"/>
    </row>
    <row r="229" spans="1:35" s="33" customFormat="1" ht="15.75">
      <c r="A229" s="175"/>
      <c r="B229" s="163"/>
      <c r="C229" s="123"/>
      <c r="D229" s="123"/>
      <c r="E229" s="32"/>
      <c r="F229"/>
      <c r="G229"/>
      <c r="H229"/>
      <c r="I229"/>
      <c r="J229"/>
      <c r="K229"/>
      <c r="L229"/>
      <c r="M229"/>
      <c r="N229"/>
      <c r="O229"/>
      <c r="P229"/>
      <c r="Q229"/>
      <c r="R229"/>
      <c r="S229"/>
      <c r="T229"/>
      <c r="U229"/>
      <c r="V229"/>
      <c r="W229"/>
      <c r="X229"/>
      <c r="Y229"/>
      <c r="Z229"/>
      <c r="AA229"/>
      <c r="AB229"/>
      <c r="AC229"/>
      <c r="AD229"/>
      <c r="AE229"/>
      <c r="AF229"/>
      <c r="AG229"/>
      <c r="AH229"/>
      <c r="AI229"/>
    </row>
    <row r="230" spans="1:35" s="33" customFormat="1" ht="15.75">
      <c r="A230" s="175"/>
      <c r="B230" s="163"/>
      <c r="C230" s="123"/>
      <c r="D230" s="123"/>
      <c r="E230" s="32"/>
      <c r="F230"/>
      <c r="G230"/>
      <c r="H230"/>
      <c r="I230"/>
      <c r="J230"/>
      <c r="K230"/>
      <c r="L230"/>
      <c r="M230"/>
      <c r="N230"/>
      <c r="O230"/>
      <c r="P230"/>
      <c r="Q230"/>
      <c r="R230"/>
      <c r="S230"/>
      <c r="T230"/>
      <c r="U230"/>
      <c r="V230"/>
      <c r="W230"/>
      <c r="X230"/>
      <c r="Y230"/>
      <c r="Z230"/>
      <c r="AA230"/>
      <c r="AB230"/>
      <c r="AC230"/>
      <c r="AD230"/>
      <c r="AE230"/>
      <c r="AF230"/>
      <c r="AG230"/>
      <c r="AH230"/>
      <c r="AI230"/>
    </row>
    <row r="231" spans="1:35" s="33" customFormat="1" ht="15.75">
      <c r="A231" s="175"/>
      <c r="B231" s="163"/>
      <c r="C231" s="123"/>
      <c r="D231" s="123"/>
      <c r="E231" s="32"/>
      <c r="F231"/>
      <c r="G231"/>
      <c r="H231"/>
      <c r="I231"/>
      <c r="J231"/>
      <c r="K231"/>
      <c r="L231"/>
      <c r="M231"/>
      <c r="N231"/>
      <c r="O231"/>
      <c r="P231"/>
      <c r="Q231"/>
      <c r="R231"/>
      <c r="S231"/>
      <c r="T231"/>
      <c r="U231"/>
      <c r="V231"/>
      <c r="W231"/>
      <c r="X231"/>
      <c r="Y231"/>
      <c r="Z231"/>
      <c r="AA231"/>
      <c r="AB231"/>
      <c r="AC231"/>
      <c r="AD231"/>
      <c r="AE231"/>
      <c r="AF231"/>
      <c r="AG231"/>
      <c r="AH231"/>
      <c r="AI231"/>
    </row>
    <row r="232" spans="1:35" s="33" customFormat="1" ht="15.75">
      <c r="A232" s="175"/>
      <c r="B232" s="163"/>
      <c r="C232" s="123"/>
      <c r="D232" s="123"/>
      <c r="E232" s="32"/>
      <c r="F232"/>
      <c r="G232"/>
      <c r="H232"/>
      <c r="I232"/>
      <c r="J232"/>
      <c r="K232"/>
      <c r="L232"/>
      <c r="M232"/>
      <c r="N232"/>
      <c r="O232"/>
      <c r="P232"/>
      <c r="Q232"/>
      <c r="R232"/>
      <c r="S232"/>
      <c r="T232"/>
      <c r="U232"/>
      <c r="V232"/>
      <c r="W232"/>
      <c r="X232"/>
      <c r="Y232"/>
      <c r="Z232"/>
      <c r="AA232"/>
      <c r="AB232"/>
      <c r="AC232"/>
      <c r="AD232"/>
      <c r="AE232"/>
      <c r="AF232"/>
      <c r="AG232"/>
      <c r="AH232"/>
      <c r="AI232"/>
    </row>
    <row r="233" spans="1:35" s="33" customFormat="1" ht="15.75">
      <c r="A233" s="175"/>
      <c r="B233" s="163"/>
      <c r="C233" s="123"/>
      <c r="D233" s="123"/>
      <c r="E233" s="32"/>
      <c r="F233"/>
      <c r="G233"/>
      <c r="H233"/>
      <c r="I233"/>
      <c r="J233"/>
      <c r="K233"/>
      <c r="L233"/>
      <c r="M233"/>
      <c r="N233"/>
      <c r="O233"/>
      <c r="P233"/>
      <c r="Q233"/>
      <c r="R233"/>
      <c r="S233"/>
      <c r="T233"/>
      <c r="U233"/>
      <c r="V233"/>
      <c r="W233"/>
      <c r="X233"/>
      <c r="Y233"/>
      <c r="Z233"/>
      <c r="AA233"/>
      <c r="AB233"/>
      <c r="AC233"/>
      <c r="AD233"/>
      <c r="AE233"/>
      <c r="AF233"/>
      <c r="AG233"/>
      <c r="AH233"/>
      <c r="AI233"/>
    </row>
    <row r="234" spans="1:35" s="33" customFormat="1" ht="15.75">
      <c r="A234" s="175"/>
      <c r="B234" s="163"/>
      <c r="C234" s="123"/>
      <c r="D234" s="123"/>
      <c r="E234" s="32"/>
      <c r="F234"/>
      <c r="G234"/>
      <c r="H234"/>
      <c r="I234"/>
      <c r="J234"/>
      <c r="K234"/>
      <c r="L234"/>
      <c r="M234"/>
      <c r="N234"/>
      <c r="O234"/>
      <c r="P234"/>
      <c r="Q234"/>
      <c r="R234"/>
      <c r="S234"/>
      <c r="T234"/>
      <c r="U234"/>
      <c r="V234"/>
      <c r="W234"/>
      <c r="X234"/>
      <c r="Y234"/>
      <c r="Z234"/>
      <c r="AA234"/>
      <c r="AB234"/>
      <c r="AC234"/>
      <c r="AD234"/>
      <c r="AE234"/>
      <c r="AF234"/>
      <c r="AG234"/>
      <c r="AH234"/>
      <c r="AI234"/>
    </row>
    <row r="235" spans="1:35" s="33" customFormat="1" ht="15.75">
      <c r="A235" s="175"/>
      <c r="B235" s="163"/>
      <c r="C235" s="123"/>
      <c r="D235" s="123"/>
      <c r="E235" s="32"/>
      <c r="F235"/>
      <c r="G235"/>
      <c r="H235"/>
      <c r="I235"/>
      <c r="J235"/>
      <c r="K235"/>
      <c r="L235"/>
      <c r="M235"/>
      <c r="N235"/>
      <c r="O235"/>
      <c r="P235"/>
      <c r="Q235"/>
      <c r="R235"/>
      <c r="S235"/>
      <c r="T235"/>
      <c r="U235"/>
      <c r="V235"/>
      <c r="W235"/>
      <c r="X235"/>
      <c r="Y235"/>
      <c r="Z235"/>
      <c r="AA235"/>
      <c r="AB235"/>
      <c r="AC235"/>
      <c r="AD235"/>
      <c r="AE235"/>
      <c r="AF235"/>
      <c r="AG235"/>
      <c r="AH235"/>
      <c r="AI235"/>
    </row>
    <row r="236" spans="1:35" s="33" customFormat="1" ht="15.75">
      <c r="A236" s="175"/>
      <c r="B236" s="163"/>
      <c r="C236" s="123"/>
      <c r="D236" s="123"/>
      <c r="E236" s="32"/>
      <c r="F236"/>
      <c r="G236"/>
      <c r="H236"/>
      <c r="I236"/>
      <c r="J236"/>
      <c r="K236"/>
      <c r="L236"/>
      <c r="M236"/>
      <c r="N236"/>
      <c r="O236"/>
      <c r="P236"/>
      <c r="Q236"/>
      <c r="R236"/>
      <c r="S236"/>
      <c r="T236"/>
      <c r="U236"/>
      <c r="V236"/>
      <c r="W236"/>
      <c r="X236"/>
      <c r="Y236"/>
      <c r="Z236"/>
      <c r="AA236"/>
      <c r="AB236"/>
      <c r="AC236"/>
      <c r="AD236"/>
      <c r="AE236"/>
      <c r="AF236"/>
      <c r="AG236"/>
      <c r="AH236"/>
      <c r="AI236"/>
    </row>
    <row r="237" spans="1:35" s="33" customFormat="1" ht="15.75">
      <c r="A237" s="175"/>
      <c r="B237" s="163"/>
      <c r="C237" s="123"/>
      <c r="D237" s="123"/>
      <c r="E237" s="32"/>
      <c r="F237"/>
      <c r="G237"/>
      <c r="H237"/>
      <c r="I237"/>
      <c r="J237"/>
      <c r="K237"/>
      <c r="L237"/>
      <c r="M237"/>
      <c r="N237"/>
      <c r="O237"/>
      <c r="P237"/>
      <c r="Q237"/>
      <c r="R237"/>
      <c r="S237"/>
      <c r="T237"/>
      <c r="U237"/>
      <c r="V237"/>
      <c r="W237"/>
      <c r="X237"/>
      <c r="Y237"/>
      <c r="Z237"/>
      <c r="AA237"/>
      <c r="AB237"/>
      <c r="AC237"/>
      <c r="AD237"/>
      <c r="AE237"/>
      <c r="AF237"/>
      <c r="AG237"/>
      <c r="AH237"/>
      <c r="AI237"/>
    </row>
    <row r="238" spans="1:35" s="33" customFormat="1" ht="15.75">
      <c r="A238" s="175"/>
      <c r="B238" s="163"/>
      <c r="C238" s="123"/>
      <c r="D238" s="123"/>
      <c r="E238" s="32"/>
      <c r="F238"/>
      <c r="G238"/>
      <c r="H238"/>
      <c r="I238"/>
      <c r="J238"/>
      <c r="K238"/>
      <c r="L238"/>
      <c r="M238"/>
      <c r="N238"/>
      <c r="O238"/>
      <c r="P238"/>
      <c r="Q238"/>
      <c r="R238"/>
      <c r="S238"/>
      <c r="T238"/>
      <c r="U238"/>
      <c r="V238"/>
      <c r="W238"/>
      <c r="X238"/>
      <c r="Y238"/>
      <c r="Z238"/>
      <c r="AA238"/>
      <c r="AB238"/>
      <c r="AC238"/>
      <c r="AD238"/>
      <c r="AE238"/>
      <c r="AF238"/>
      <c r="AG238"/>
      <c r="AH238"/>
      <c r="AI238"/>
    </row>
    <row r="239" spans="1:35" s="33" customFormat="1" ht="15.75">
      <c r="A239" s="175"/>
      <c r="B239" s="163"/>
      <c r="C239" s="123"/>
      <c r="D239" s="123"/>
      <c r="E239" s="32"/>
      <c r="F239"/>
      <c r="G239"/>
      <c r="H239"/>
      <c r="I239"/>
      <c r="J239"/>
      <c r="K239"/>
      <c r="L239"/>
      <c r="M239"/>
      <c r="N239"/>
      <c r="O239"/>
      <c r="P239"/>
      <c r="Q239"/>
      <c r="R239"/>
      <c r="S239"/>
      <c r="T239"/>
      <c r="U239"/>
      <c r="V239"/>
      <c r="W239"/>
      <c r="X239"/>
      <c r="Y239"/>
      <c r="Z239"/>
      <c r="AA239"/>
      <c r="AB239"/>
      <c r="AC239"/>
      <c r="AD239"/>
      <c r="AE239"/>
      <c r="AF239"/>
      <c r="AG239"/>
      <c r="AH239"/>
      <c r="AI239"/>
    </row>
    <row r="240" spans="1:35" s="33" customFormat="1" ht="15.75">
      <c r="A240" s="175"/>
      <c r="B240" s="163"/>
      <c r="C240" s="123"/>
      <c r="D240" s="123"/>
      <c r="E240" s="32"/>
      <c r="F240"/>
      <c r="G240"/>
      <c r="H240"/>
      <c r="I240"/>
      <c r="J240"/>
      <c r="K240"/>
      <c r="L240"/>
      <c r="M240"/>
      <c r="N240"/>
      <c r="O240"/>
      <c r="P240"/>
      <c r="Q240"/>
      <c r="R240"/>
      <c r="S240"/>
      <c r="T240"/>
      <c r="U240"/>
      <c r="V240"/>
      <c r="W240"/>
      <c r="X240"/>
      <c r="Y240"/>
      <c r="Z240"/>
      <c r="AA240"/>
      <c r="AB240"/>
      <c r="AC240"/>
      <c r="AD240"/>
      <c r="AE240"/>
      <c r="AF240"/>
      <c r="AG240"/>
      <c r="AH240"/>
      <c r="AI240"/>
    </row>
    <row r="241" spans="1:35" s="33" customFormat="1" ht="15.75">
      <c r="A241" s="175"/>
      <c r="B241" s="163"/>
      <c r="C241" s="123"/>
      <c r="D241" s="123"/>
      <c r="E241" s="32"/>
      <c r="F241"/>
      <c r="G241"/>
      <c r="H241"/>
      <c r="I241"/>
      <c r="J241"/>
      <c r="K241"/>
      <c r="L241"/>
      <c r="M241"/>
      <c r="N241"/>
      <c r="O241"/>
      <c r="P241"/>
      <c r="Q241"/>
      <c r="R241"/>
      <c r="S241"/>
      <c r="T241"/>
      <c r="U241"/>
      <c r="V241"/>
      <c r="W241"/>
      <c r="X241"/>
      <c r="Y241"/>
      <c r="Z241"/>
      <c r="AA241"/>
      <c r="AB241"/>
      <c r="AC241"/>
      <c r="AD241"/>
      <c r="AE241"/>
      <c r="AF241"/>
      <c r="AG241"/>
      <c r="AH241"/>
      <c r="AI241"/>
    </row>
    <row r="242" spans="1:35" s="33" customFormat="1" ht="15.75">
      <c r="A242" s="175"/>
      <c r="B242" s="163"/>
      <c r="C242" s="123"/>
      <c r="D242" s="123"/>
      <c r="E242" s="32"/>
      <c r="F242"/>
      <c r="G242"/>
      <c r="H242"/>
      <c r="I242"/>
      <c r="J242"/>
      <c r="K242"/>
      <c r="L242"/>
      <c r="M242"/>
      <c r="N242"/>
      <c r="O242"/>
      <c r="P242"/>
      <c r="Q242"/>
      <c r="R242"/>
      <c r="S242"/>
      <c r="T242"/>
      <c r="U242"/>
      <c r="V242"/>
      <c r="W242"/>
      <c r="X242"/>
      <c r="Y242"/>
      <c r="Z242"/>
      <c r="AA242"/>
      <c r="AB242"/>
      <c r="AC242"/>
      <c r="AD242"/>
      <c r="AE242"/>
      <c r="AF242"/>
      <c r="AG242"/>
      <c r="AH242"/>
      <c r="AI242"/>
    </row>
    <row r="243" spans="1:35" s="33" customFormat="1" ht="15.75">
      <c r="A243" s="175"/>
      <c r="B243" s="163"/>
      <c r="C243" s="123"/>
      <c r="D243" s="123"/>
      <c r="E243" s="32"/>
      <c r="F243"/>
      <c r="G243"/>
      <c r="H243"/>
      <c r="I243"/>
      <c r="J243"/>
      <c r="K243"/>
      <c r="L243"/>
      <c r="M243"/>
      <c r="N243"/>
      <c r="O243"/>
      <c r="P243"/>
      <c r="Q243"/>
      <c r="R243"/>
      <c r="S243"/>
      <c r="T243"/>
      <c r="U243"/>
      <c r="V243"/>
      <c r="W243"/>
      <c r="X243"/>
      <c r="Y243"/>
      <c r="Z243"/>
      <c r="AA243"/>
      <c r="AB243"/>
      <c r="AC243"/>
      <c r="AD243"/>
      <c r="AE243"/>
      <c r="AF243"/>
      <c r="AG243"/>
      <c r="AH243"/>
      <c r="AI243"/>
    </row>
    <row r="244" spans="1:35" s="33" customFormat="1" ht="15.75">
      <c r="A244" s="175"/>
      <c r="B244" s="163"/>
      <c r="C244" s="123"/>
      <c r="D244" s="123"/>
      <c r="E244" s="32"/>
      <c r="F244"/>
      <c r="G244"/>
      <c r="H244"/>
      <c r="I244"/>
      <c r="J244"/>
      <c r="K244"/>
      <c r="L244"/>
      <c r="M244"/>
      <c r="N244"/>
      <c r="O244"/>
      <c r="P244"/>
      <c r="Q244"/>
      <c r="R244"/>
      <c r="S244"/>
      <c r="T244"/>
      <c r="U244"/>
      <c r="V244"/>
      <c r="W244"/>
      <c r="X244"/>
      <c r="Y244"/>
      <c r="Z244"/>
      <c r="AA244"/>
      <c r="AB244"/>
      <c r="AC244"/>
      <c r="AD244"/>
      <c r="AE244"/>
      <c r="AF244"/>
      <c r="AG244"/>
      <c r="AH244"/>
      <c r="AI244"/>
    </row>
    <row r="245" spans="1:35" s="33" customFormat="1" ht="15.75">
      <c r="A245" s="175"/>
      <c r="B245" s="163"/>
      <c r="C245" s="123"/>
      <c r="D245" s="123"/>
      <c r="E245" s="32"/>
      <c r="F245"/>
      <c r="G245"/>
      <c r="H245"/>
      <c r="I245"/>
      <c r="J245"/>
      <c r="K245"/>
      <c r="L245"/>
      <c r="M245"/>
      <c r="N245"/>
      <c r="O245"/>
      <c r="P245"/>
      <c r="Q245"/>
      <c r="R245"/>
      <c r="S245"/>
      <c r="T245"/>
      <c r="U245"/>
      <c r="V245"/>
      <c r="W245"/>
      <c r="X245"/>
      <c r="Y245"/>
      <c r="Z245"/>
      <c r="AA245"/>
      <c r="AB245"/>
      <c r="AC245"/>
      <c r="AD245"/>
      <c r="AE245"/>
      <c r="AF245"/>
      <c r="AG245"/>
      <c r="AH245"/>
      <c r="AI245"/>
    </row>
    <row r="246" spans="1:35" s="33" customFormat="1" ht="15.75">
      <c r="A246" s="175"/>
      <c r="B246" s="163"/>
      <c r="C246" s="123"/>
      <c r="D246" s="123"/>
      <c r="E246" s="32"/>
      <c r="F246"/>
      <c r="G246"/>
      <c r="H246"/>
      <c r="I246"/>
      <c r="J246"/>
      <c r="K246"/>
      <c r="L246"/>
      <c r="M246"/>
      <c r="N246"/>
      <c r="O246"/>
      <c r="P246"/>
      <c r="Q246"/>
      <c r="R246"/>
      <c r="S246"/>
      <c r="T246"/>
      <c r="U246"/>
      <c r="V246"/>
      <c r="W246"/>
      <c r="X246"/>
      <c r="Y246"/>
      <c r="Z246"/>
      <c r="AA246"/>
      <c r="AB246"/>
      <c r="AC246"/>
      <c r="AD246"/>
      <c r="AE246"/>
      <c r="AF246"/>
      <c r="AG246"/>
      <c r="AH246"/>
      <c r="AI246"/>
    </row>
    <row r="247" spans="1:35" s="33" customFormat="1" ht="15.75">
      <c r="A247" s="175"/>
      <c r="B247" s="163"/>
      <c r="C247" s="123"/>
      <c r="D247" s="123"/>
      <c r="E247" s="32"/>
      <c r="F247"/>
      <c r="G247"/>
      <c r="H247"/>
      <c r="I247"/>
      <c r="J247"/>
      <c r="K247"/>
      <c r="L247"/>
      <c r="M247"/>
      <c r="N247"/>
      <c r="O247"/>
      <c r="P247"/>
      <c r="Q247"/>
      <c r="R247"/>
      <c r="S247"/>
      <c r="T247"/>
      <c r="U247"/>
      <c r="V247"/>
      <c r="W247"/>
      <c r="X247"/>
      <c r="Y247"/>
      <c r="Z247"/>
      <c r="AA247"/>
      <c r="AB247"/>
      <c r="AC247"/>
      <c r="AD247"/>
      <c r="AE247"/>
      <c r="AF247"/>
      <c r="AG247"/>
      <c r="AH247"/>
      <c r="AI247"/>
    </row>
    <row r="248" spans="1:35" s="33" customFormat="1" ht="15.75">
      <c r="A248" s="175"/>
      <c r="B248" s="163"/>
      <c r="C248" s="123"/>
      <c r="D248" s="123"/>
      <c r="E248" s="32"/>
      <c r="F248"/>
      <c r="G248"/>
      <c r="H248"/>
      <c r="I248"/>
      <c r="J248"/>
      <c r="K248"/>
      <c r="L248"/>
      <c r="M248"/>
      <c r="N248"/>
      <c r="O248"/>
      <c r="P248"/>
      <c r="Q248"/>
      <c r="R248"/>
      <c r="S248"/>
      <c r="T248"/>
      <c r="U248"/>
      <c r="V248"/>
      <c r="W248"/>
      <c r="X248"/>
      <c r="Y248"/>
      <c r="Z248"/>
      <c r="AA248"/>
      <c r="AB248"/>
      <c r="AC248"/>
      <c r="AD248"/>
      <c r="AE248"/>
      <c r="AF248"/>
      <c r="AG248"/>
      <c r="AH248"/>
      <c r="AI248"/>
    </row>
    <row r="249" spans="1:35" s="33" customFormat="1" ht="15.75">
      <c r="A249" s="175"/>
      <c r="B249" s="163"/>
      <c r="C249" s="123"/>
      <c r="D249" s="123"/>
      <c r="E249" s="32"/>
      <c r="F249"/>
      <c r="G249"/>
      <c r="H249"/>
      <c r="I249"/>
      <c r="J249"/>
      <c r="K249"/>
      <c r="L249"/>
      <c r="M249"/>
      <c r="N249"/>
      <c r="O249"/>
      <c r="P249"/>
      <c r="Q249"/>
      <c r="R249"/>
      <c r="S249"/>
      <c r="T249"/>
      <c r="U249"/>
      <c r="V249"/>
      <c r="W249"/>
      <c r="X249"/>
      <c r="Y249"/>
      <c r="Z249"/>
      <c r="AA249"/>
      <c r="AB249"/>
      <c r="AC249"/>
      <c r="AD249"/>
      <c r="AE249"/>
      <c r="AF249"/>
      <c r="AG249"/>
      <c r="AH249"/>
      <c r="AI249"/>
    </row>
    <row r="250" spans="1:35" s="33" customFormat="1" ht="15.75">
      <c r="A250" s="175"/>
      <c r="B250" s="163"/>
      <c r="C250" s="123"/>
      <c r="D250" s="123"/>
      <c r="E250" s="32"/>
      <c r="F250"/>
      <c r="G250"/>
      <c r="H250"/>
      <c r="I250"/>
      <c r="J250"/>
      <c r="K250"/>
      <c r="L250"/>
      <c r="M250"/>
      <c r="N250"/>
      <c r="O250"/>
      <c r="P250"/>
      <c r="Q250"/>
      <c r="R250"/>
      <c r="S250"/>
      <c r="T250"/>
      <c r="U250"/>
      <c r="V250"/>
      <c r="W250"/>
      <c r="X250"/>
      <c r="Y250"/>
      <c r="Z250"/>
      <c r="AA250"/>
      <c r="AB250"/>
      <c r="AC250"/>
      <c r="AD250"/>
      <c r="AE250"/>
      <c r="AF250"/>
      <c r="AG250"/>
      <c r="AH250"/>
      <c r="AI250"/>
    </row>
    <row r="251" spans="1:35" s="33" customFormat="1" ht="15.75">
      <c r="A251" s="175"/>
      <c r="B251" s="163"/>
      <c r="C251" s="123"/>
      <c r="D251" s="123"/>
      <c r="E251" s="32"/>
      <c r="F251"/>
      <c r="G251"/>
      <c r="H251"/>
      <c r="I251"/>
      <c r="J251"/>
      <c r="K251"/>
      <c r="L251"/>
      <c r="M251"/>
      <c r="N251"/>
      <c r="O251"/>
      <c r="P251"/>
      <c r="Q251"/>
      <c r="R251"/>
      <c r="S251"/>
      <c r="T251"/>
      <c r="U251"/>
      <c r="V251"/>
      <c r="W251"/>
      <c r="X251"/>
      <c r="Y251"/>
      <c r="Z251"/>
      <c r="AA251"/>
      <c r="AB251"/>
      <c r="AC251"/>
      <c r="AD251"/>
      <c r="AE251"/>
      <c r="AF251"/>
      <c r="AG251"/>
      <c r="AH251"/>
      <c r="AI251"/>
    </row>
    <row r="252" spans="1:35" s="33" customFormat="1" ht="15.75">
      <c r="A252" s="175"/>
      <c r="B252" s="163"/>
      <c r="C252" s="123"/>
      <c r="D252" s="123"/>
      <c r="E252" s="32"/>
      <c r="F252"/>
      <c r="G252"/>
      <c r="H252"/>
      <c r="I252"/>
      <c r="J252"/>
      <c r="K252"/>
      <c r="L252"/>
      <c r="M252"/>
      <c r="N252"/>
      <c r="O252"/>
      <c r="P252"/>
      <c r="Q252"/>
      <c r="R252"/>
      <c r="S252"/>
      <c r="T252"/>
      <c r="U252"/>
      <c r="V252"/>
      <c r="W252"/>
      <c r="X252"/>
      <c r="Y252"/>
      <c r="Z252"/>
      <c r="AA252"/>
      <c r="AB252"/>
      <c r="AC252"/>
      <c r="AD252"/>
      <c r="AE252"/>
      <c r="AF252"/>
      <c r="AG252"/>
      <c r="AH252"/>
      <c r="AI252"/>
    </row>
    <row r="253" spans="1:35" s="33" customFormat="1" ht="15.75">
      <c r="A253" s="175"/>
      <c r="B253" s="163"/>
      <c r="C253" s="123"/>
      <c r="D253" s="123"/>
      <c r="E253" s="32"/>
      <c r="F253"/>
      <c r="G253"/>
      <c r="H253"/>
      <c r="I253"/>
      <c r="J253"/>
      <c r="K253"/>
      <c r="L253"/>
      <c r="M253"/>
      <c r="N253"/>
      <c r="O253"/>
      <c r="P253"/>
      <c r="Q253"/>
      <c r="R253"/>
      <c r="S253"/>
      <c r="T253"/>
      <c r="U253"/>
      <c r="V253"/>
      <c r="W253"/>
      <c r="X253"/>
      <c r="Y253"/>
      <c r="Z253"/>
      <c r="AA253"/>
      <c r="AB253"/>
      <c r="AC253"/>
      <c r="AD253"/>
      <c r="AE253"/>
      <c r="AF253"/>
      <c r="AG253"/>
      <c r="AH253"/>
      <c r="AI253"/>
    </row>
    <row r="254" spans="1:35" s="33" customFormat="1" ht="15.75">
      <c r="A254" s="175"/>
      <c r="B254" s="163"/>
      <c r="C254" s="123"/>
      <c r="D254" s="123"/>
      <c r="E254" s="32"/>
      <c r="F254"/>
      <c r="G254"/>
      <c r="H254"/>
      <c r="I254"/>
      <c r="J254"/>
      <c r="K254"/>
      <c r="L254"/>
      <c r="M254"/>
      <c r="N254"/>
      <c r="O254"/>
      <c r="P254"/>
      <c r="Q254"/>
      <c r="R254"/>
      <c r="S254"/>
      <c r="T254"/>
      <c r="U254"/>
      <c r="V254"/>
      <c r="W254"/>
      <c r="X254"/>
      <c r="Y254"/>
      <c r="Z254"/>
      <c r="AA254"/>
      <c r="AB254"/>
      <c r="AC254"/>
      <c r="AD254"/>
      <c r="AE254"/>
      <c r="AF254"/>
      <c r="AG254"/>
      <c r="AH254"/>
      <c r="AI254"/>
    </row>
    <row r="255" spans="1:35" s="33" customFormat="1" ht="15.75">
      <c r="A255" s="175"/>
      <c r="B255" s="163"/>
      <c r="C255" s="123"/>
      <c r="D255" s="123"/>
      <c r="E255" s="32"/>
      <c r="F255"/>
      <c r="G255"/>
      <c r="H255"/>
      <c r="I255"/>
      <c r="J255"/>
      <c r="K255"/>
      <c r="L255"/>
      <c r="M255"/>
      <c r="N255"/>
      <c r="O255"/>
      <c r="P255"/>
      <c r="Q255"/>
      <c r="R255"/>
      <c r="S255"/>
      <c r="T255"/>
      <c r="U255"/>
      <c r="V255"/>
      <c r="W255"/>
      <c r="X255"/>
      <c r="Y255"/>
      <c r="Z255"/>
      <c r="AA255"/>
      <c r="AB255"/>
      <c r="AC255"/>
      <c r="AD255"/>
      <c r="AE255"/>
      <c r="AF255"/>
      <c r="AG255"/>
      <c r="AH255"/>
      <c r="AI255"/>
    </row>
    <row r="256" spans="1:35" s="33" customFormat="1" ht="15.75">
      <c r="A256" s="175"/>
      <c r="B256" s="163"/>
      <c r="C256" s="123"/>
      <c r="D256" s="123"/>
      <c r="E256" s="32"/>
      <c r="F256"/>
      <c r="G256"/>
      <c r="H256"/>
      <c r="I256"/>
      <c r="J256"/>
      <c r="K256"/>
      <c r="L256"/>
      <c r="M256"/>
      <c r="N256"/>
      <c r="O256"/>
      <c r="P256"/>
      <c r="Q256"/>
      <c r="R256"/>
      <c r="S256"/>
      <c r="T256"/>
      <c r="U256"/>
      <c r="V256"/>
      <c r="W256"/>
      <c r="X256"/>
      <c r="Y256"/>
      <c r="Z256"/>
      <c r="AA256"/>
      <c r="AB256"/>
      <c r="AC256"/>
      <c r="AD256"/>
      <c r="AE256"/>
      <c r="AF256"/>
      <c r="AG256"/>
      <c r="AH256"/>
      <c r="AI256"/>
    </row>
    <row r="257" spans="1:35" s="33" customFormat="1" ht="15.75">
      <c r="A257" s="175"/>
      <c r="B257" s="163"/>
      <c r="C257" s="123"/>
      <c r="D257" s="123"/>
      <c r="E257" s="32"/>
      <c r="F257"/>
      <c r="G257"/>
      <c r="H257"/>
      <c r="I257"/>
      <c r="J257"/>
      <c r="K257"/>
      <c r="L257"/>
      <c r="M257"/>
      <c r="N257"/>
      <c r="O257"/>
      <c r="P257"/>
      <c r="Q257"/>
      <c r="R257"/>
      <c r="S257"/>
      <c r="T257"/>
      <c r="U257"/>
      <c r="V257"/>
      <c r="W257"/>
      <c r="X257"/>
      <c r="Y257"/>
      <c r="Z257"/>
      <c r="AA257"/>
      <c r="AB257"/>
      <c r="AC257"/>
      <c r="AD257"/>
      <c r="AE257"/>
      <c r="AF257"/>
      <c r="AG257"/>
      <c r="AH257"/>
      <c r="AI257"/>
    </row>
    <row r="258" spans="1:35" s="33" customFormat="1" ht="15.75">
      <c r="A258" s="175"/>
      <c r="B258" s="163"/>
      <c r="C258" s="123"/>
      <c r="D258" s="123"/>
      <c r="E258" s="32"/>
      <c r="F258"/>
      <c r="G258"/>
      <c r="H258"/>
      <c r="I258"/>
      <c r="J258"/>
      <c r="K258"/>
      <c r="L258"/>
      <c r="M258"/>
      <c r="N258"/>
      <c r="O258"/>
      <c r="P258"/>
      <c r="Q258"/>
      <c r="R258"/>
      <c r="S258"/>
      <c r="T258"/>
      <c r="U258"/>
      <c r="V258"/>
      <c r="W258"/>
      <c r="X258"/>
      <c r="Y258"/>
      <c r="Z258"/>
      <c r="AA258"/>
      <c r="AB258"/>
      <c r="AC258"/>
      <c r="AD258"/>
      <c r="AE258"/>
      <c r="AF258"/>
      <c r="AG258"/>
      <c r="AH258"/>
      <c r="AI258"/>
    </row>
    <row r="259" spans="1:35" s="33" customFormat="1" ht="15.75">
      <c r="A259" s="175"/>
      <c r="B259" s="163"/>
      <c r="C259" s="123"/>
      <c r="D259" s="123"/>
      <c r="E259" s="32"/>
      <c r="F259"/>
      <c r="G259"/>
      <c r="H259"/>
      <c r="I259"/>
      <c r="J259"/>
      <c r="K259"/>
      <c r="L259"/>
      <c r="M259"/>
      <c r="N259"/>
      <c r="O259"/>
      <c r="P259"/>
      <c r="Q259"/>
      <c r="R259"/>
      <c r="S259"/>
      <c r="T259"/>
      <c r="U259"/>
      <c r="V259"/>
      <c r="W259"/>
      <c r="X259"/>
      <c r="Y259"/>
      <c r="Z259"/>
      <c r="AA259"/>
      <c r="AB259"/>
      <c r="AC259"/>
      <c r="AD259"/>
      <c r="AE259"/>
      <c r="AF259"/>
      <c r="AG259"/>
      <c r="AH259"/>
      <c r="AI259"/>
    </row>
    <row r="260" spans="1:35" s="33" customFormat="1" ht="15.75">
      <c r="A260" s="175"/>
      <c r="B260" s="163"/>
      <c r="C260" s="123"/>
      <c r="D260" s="123"/>
      <c r="E260" s="32"/>
      <c r="F260"/>
      <c r="G260"/>
      <c r="H260"/>
      <c r="I260"/>
      <c r="J260"/>
      <c r="K260"/>
      <c r="L260"/>
      <c r="M260"/>
      <c r="N260"/>
      <c r="O260"/>
      <c r="P260"/>
      <c r="Q260"/>
      <c r="R260"/>
      <c r="S260"/>
      <c r="T260"/>
      <c r="U260"/>
      <c r="V260"/>
      <c r="W260"/>
      <c r="X260"/>
      <c r="Y260"/>
      <c r="Z260"/>
      <c r="AA260"/>
      <c r="AB260"/>
      <c r="AC260"/>
      <c r="AD260"/>
      <c r="AE260"/>
      <c r="AF260"/>
      <c r="AG260"/>
      <c r="AH260"/>
      <c r="AI260"/>
    </row>
    <row r="261" spans="1:35" s="33" customFormat="1" ht="15.75">
      <c r="A261" s="175"/>
      <c r="B261" s="163"/>
      <c r="C261" s="123"/>
      <c r="D261" s="123"/>
      <c r="E261" s="32"/>
      <c r="F261"/>
      <c r="G261"/>
      <c r="H261"/>
      <c r="I261"/>
      <c r="J261"/>
      <c r="K261"/>
      <c r="L261"/>
      <c r="M261"/>
      <c r="N261"/>
      <c r="O261"/>
      <c r="P261"/>
      <c r="Q261"/>
      <c r="R261"/>
      <c r="S261"/>
      <c r="T261"/>
      <c r="U261"/>
      <c r="V261"/>
      <c r="W261"/>
      <c r="X261"/>
      <c r="Y261"/>
      <c r="Z261"/>
      <c r="AA261"/>
      <c r="AB261"/>
      <c r="AC261"/>
      <c r="AD261"/>
      <c r="AE261"/>
      <c r="AF261"/>
      <c r="AG261"/>
      <c r="AH261"/>
      <c r="AI261"/>
    </row>
    <row r="262" spans="1:35" s="33" customFormat="1" ht="15.75">
      <c r="A262" s="175"/>
      <c r="B262" s="163"/>
      <c r="C262" s="123"/>
      <c r="D262" s="123"/>
      <c r="E262" s="32"/>
      <c r="F262"/>
      <c r="G262"/>
      <c r="H262"/>
      <c r="I262"/>
      <c r="J262"/>
      <c r="K262"/>
      <c r="L262"/>
      <c r="M262"/>
      <c r="N262"/>
      <c r="O262"/>
      <c r="P262"/>
      <c r="Q262"/>
      <c r="R262"/>
      <c r="S262"/>
      <c r="T262"/>
      <c r="U262"/>
      <c r="V262"/>
      <c r="W262"/>
      <c r="X262"/>
      <c r="Y262"/>
      <c r="Z262"/>
      <c r="AA262"/>
      <c r="AB262"/>
      <c r="AC262"/>
      <c r="AD262"/>
      <c r="AE262"/>
      <c r="AF262"/>
      <c r="AG262"/>
      <c r="AH262"/>
      <c r="AI262"/>
    </row>
    <row r="263" spans="1:35" s="33" customFormat="1" ht="15.75">
      <c r="A263" s="175"/>
      <c r="B263" s="163"/>
      <c r="C263" s="123"/>
      <c r="D263" s="123"/>
      <c r="E263" s="32"/>
      <c r="F263"/>
      <c r="G263"/>
      <c r="H263"/>
      <c r="I263"/>
      <c r="J263"/>
      <c r="K263"/>
      <c r="L263"/>
      <c r="M263"/>
      <c r="N263"/>
      <c r="O263"/>
      <c r="P263"/>
      <c r="Q263"/>
      <c r="R263"/>
      <c r="S263"/>
      <c r="T263"/>
      <c r="U263"/>
      <c r="V263"/>
      <c r="W263"/>
      <c r="X263"/>
      <c r="Y263"/>
      <c r="Z263"/>
      <c r="AA263"/>
      <c r="AB263"/>
      <c r="AC263"/>
      <c r="AD263"/>
      <c r="AE263"/>
      <c r="AF263"/>
      <c r="AG263"/>
      <c r="AH263"/>
      <c r="AI263"/>
    </row>
    <row r="264" spans="1:35" s="33" customFormat="1" ht="15.75">
      <c r="A264" s="175"/>
      <c r="B264" s="163"/>
      <c r="C264" s="123"/>
      <c r="D264" s="123"/>
      <c r="E264" s="32"/>
      <c r="F264"/>
      <c r="G264"/>
      <c r="H264"/>
      <c r="I264"/>
      <c r="J264"/>
      <c r="K264"/>
      <c r="L264"/>
      <c r="M264"/>
      <c r="N264"/>
      <c r="O264"/>
      <c r="P264"/>
      <c r="Q264"/>
      <c r="R264"/>
      <c r="S264"/>
      <c r="T264"/>
      <c r="U264"/>
      <c r="V264"/>
      <c r="W264"/>
      <c r="X264"/>
      <c r="Y264"/>
      <c r="Z264"/>
      <c r="AA264"/>
      <c r="AB264"/>
      <c r="AC264"/>
      <c r="AD264"/>
      <c r="AE264"/>
      <c r="AF264"/>
      <c r="AG264"/>
      <c r="AH264"/>
      <c r="AI264"/>
    </row>
    <row r="265" spans="1:35" s="33" customFormat="1" ht="15.75">
      <c r="A265" s="175"/>
      <c r="B265" s="163"/>
      <c r="C265" s="123"/>
      <c r="D265" s="123"/>
      <c r="E265" s="32"/>
      <c r="F265"/>
      <c r="G265"/>
      <c r="H265"/>
      <c r="I265"/>
      <c r="J265"/>
      <c r="K265"/>
      <c r="L265"/>
      <c r="M265"/>
      <c r="N265"/>
      <c r="O265"/>
      <c r="P265"/>
      <c r="Q265"/>
      <c r="R265"/>
      <c r="S265"/>
      <c r="T265"/>
      <c r="U265"/>
      <c r="V265"/>
      <c r="W265"/>
      <c r="X265"/>
      <c r="Y265"/>
      <c r="Z265"/>
      <c r="AA265"/>
      <c r="AB265"/>
      <c r="AC265"/>
      <c r="AD265"/>
      <c r="AE265"/>
      <c r="AF265"/>
      <c r="AG265"/>
      <c r="AH265"/>
      <c r="AI265"/>
    </row>
    <row r="266" spans="1:35" s="33" customFormat="1" ht="15.75">
      <c r="A266" s="175"/>
      <c r="B266" s="163"/>
      <c r="C266" s="123"/>
      <c r="D266" s="123"/>
      <c r="E266" s="32"/>
      <c r="F266"/>
      <c r="G266"/>
      <c r="H266"/>
      <c r="I266"/>
      <c r="J266"/>
      <c r="K266"/>
      <c r="L266"/>
      <c r="M266"/>
      <c r="N266"/>
      <c r="O266"/>
      <c r="P266"/>
      <c r="Q266"/>
      <c r="R266"/>
      <c r="S266"/>
      <c r="T266"/>
      <c r="U266"/>
      <c r="V266"/>
      <c r="W266"/>
      <c r="X266"/>
      <c r="Y266"/>
      <c r="Z266"/>
      <c r="AA266"/>
      <c r="AB266"/>
      <c r="AC266"/>
      <c r="AD266"/>
      <c r="AE266"/>
      <c r="AF266"/>
      <c r="AG266"/>
      <c r="AH266"/>
      <c r="AI266"/>
    </row>
    <row r="267" spans="1:35" s="33" customFormat="1" ht="15.75">
      <c r="A267" s="175"/>
      <c r="B267" s="163"/>
      <c r="C267" s="123"/>
      <c r="D267" s="123"/>
      <c r="E267" s="32"/>
      <c r="F267"/>
      <c r="G267"/>
      <c r="H267"/>
      <c r="I267"/>
      <c r="J267"/>
      <c r="K267"/>
      <c r="L267"/>
      <c r="M267"/>
      <c r="N267"/>
      <c r="O267"/>
      <c r="P267"/>
      <c r="Q267"/>
      <c r="R267"/>
      <c r="S267"/>
      <c r="T267"/>
      <c r="U267"/>
      <c r="V267"/>
      <c r="W267"/>
      <c r="X267"/>
      <c r="Y267"/>
      <c r="Z267"/>
      <c r="AA267"/>
      <c r="AB267"/>
      <c r="AC267"/>
      <c r="AD267"/>
      <c r="AE267"/>
      <c r="AF267"/>
      <c r="AG267"/>
      <c r="AH267"/>
      <c r="AI267"/>
    </row>
    <row r="268" spans="1:35" s="33" customFormat="1" ht="15.75">
      <c r="A268" s="175"/>
      <c r="B268" s="163"/>
      <c r="C268" s="123"/>
      <c r="D268" s="123"/>
      <c r="E268" s="32"/>
      <c r="F268"/>
      <c r="G268"/>
      <c r="H268"/>
      <c r="I268"/>
      <c r="J268"/>
      <c r="K268"/>
      <c r="L268"/>
      <c r="M268"/>
      <c r="N268"/>
      <c r="O268"/>
      <c r="P268"/>
      <c r="Q268"/>
      <c r="R268"/>
      <c r="S268"/>
      <c r="T268"/>
      <c r="U268"/>
      <c r="V268"/>
      <c r="W268"/>
      <c r="X268"/>
      <c r="Y268"/>
      <c r="Z268"/>
      <c r="AA268"/>
      <c r="AB268"/>
      <c r="AC268"/>
      <c r="AD268"/>
      <c r="AE268"/>
      <c r="AF268"/>
      <c r="AG268"/>
      <c r="AH268"/>
      <c r="AI268"/>
    </row>
    <row r="269" spans="1:35" s="33" customFormat="1" ht="15.75">
      <c r="A269" s="175"/>
      <c r="B269" s="163"/>
      <c r="C269" s="123"/>
      <c r="D269" s="123"/>
      <c r="E269" s="32"/>
      <c r="F269"/>
      <c r="G269"/>
      <c r="H269"/>
      <c r="I269"/>
      <c r="J269"/>
      <c r="K269"/>
      <c r="L269"/>
      <c r="M269"/>
      <c r="N269"/>
      <c r="O269"/>
      <c r="P269"/>
      <c r="Q269"/>
      <c r="R269"/>
      <c r="S269"/>
      <c r="T269"/>
      <c r="U269"/>
      <c r="V269"/>
      <c r="W269"/>
      <c r="X269"/>
      <c r="Y269"/>
      <c r="Z269"/>
      <c r="AA269"/>
      <c r="AB269"/>
      <c r="AC269"/>
      <c r="AD269"/>
      <c r="AE269"/>
      <c r="AF269"/>
      <c r="AG269"/>
      <c r="AH269"/>
      <c r="AI269"/>
    </row>
    <row r="270" spans="1:35" s="33" customFormat="1" ht="15.75">
      <c r="A270" s="175"/>
      <c r="B270" s="163"/>
      <c r="C270" s="123"/>
      <c r="D270" s="123"/>
      <c r="E270" s="32"/>
      <c r="F270"/>
      <c r="G270"/>
      <c r="H270"/>
      <c r="I270"/>
      <c r="J270"/>
      <c r="K270"/>
      <c r="L270"/>
      <c r="M270"/>
      <c r="N270"/>
      <c r="O270"/>
      <c r="P270"/>
      <c r="Q270"/>
      <c r="R270"/>
      <c r="S270"/>
      <c r="T270"/>
      <c r="U270"/>
      <c r="V270"/>
      <c r="W270"/>
      <c r="X270"/>
      <c r="Y270"/>
      <c r="Z270"/>
      <c r="AA270"/>
      <c r="AB270"/>
      <c r="AC270"/>
      <c r="AD270"/>
      <c r="AE270"/>
      <c r="AF270"/>
      <c r="AG270"/>
      <c r="AH270"/>
      <c r="AI270"/>
    </row>
    <row r="271" spans="1:35" s="33" customFormat="1" ht="15.75">
      <c r="A271" s="175"/>
      <c r="B271" s="163"/>
      <c r="C271" s="123"/>
      <c r="D271" s="123"/>
      <c r="E271" s="32"/>
      <c r="F271"/>
      <c r="G271"/>
      <c r="H271"/>
      <c r="I271"/>
      <c r="J271"/>
      <c r="K271"/>
      <c r="L271"/>
      <c r="M271"/>
      <c r="N271"/>
      <c r="O271"/>
      <c r="P271"/>
      <c r="Q271"/>
      <c r="R271"/>
      <c r="S271"/>
      <c r="T271"/>
      <c r="U271"/>
      <c r="V271"/>
      <c r="W271"/>
      <c r="X271"/>
      <c r="Y271"/>
      <c r="Z271"/>
      <c r="AA271"/>
      <c r="AB271"/>
      <c r="AC271"/>
      <c r="AD271"/>
      <c r="AE271"/>
      <c r="AF271"/>
      <c r="AG271"/>
      <c r="AH271"/>
      <c r="AI271"/>
    </row>
    <row r="272" spans="1:35" s="33" customFormat="1" ht="15.75">
      <c r="A272" s="175"/>
      <c r="B272" s="163"/>
      <c r="C272" s="123"/>
      <c r="D272" s="123"/>
      <c r="E272" s="32"/>
      <c r="F272"/>
      <c r="G272"/>
      <c r="H272"/>
      <c r="I272"/>
      <c r="J272"/>
      <c r="K272"/>
      <c r="L272"/>
      <c r="M272"/>
      <c r="N272"/>
      <c r="O272"/>
      <c r="P272"/>
      <c r="Q272"/>
      <c r="R272"/>
      <c r="S272"/>
      <c r="T272"/>
      <c r="U272"/>
      <c r="V272"/>
      <c r="W272"/>
      <c r="X272"/>
      <c r="Y272"/>
      <c r="Z272"/>
      <c r="AA272"/>
      <c r="AB272"/>
      <c r="AC272"/>
      <c r="AD272"/>
      <c r="AE272"/>
      <c r="AF272"/>
      <c r="AG272"/>
      <c r="AH272"/>
      <c r="AI272"/>
    </row>
    <row r="273" spans="1:35" s="33" customFormat="1" ht="15.75">
      <c r="A273" s="175"/>
      <c r="B273" s="163"/>
      <c r="C273" s="123"/>
      <c r="D273" s="123"/>
      <c r="E273" s="32"/>
      <c r="F273"/>
      <c r="G273"/>
      <c r="H273"/>
      <c r="I273"/>
      <c r="J273"/>
      <c r="K273"/>
      <c r="L273"/>
      <c r="M273"/>
      <c r="N273"/>
      <c r="O273"/>
      <c r="P273"/>
      <c r="Q273"/>
      <c r="R273"/>
      <c r="S273"/>
      <c r="T273"/>
      <c r="U273"/>
      <c r="V273"/>
      <c r="W273"/>
      <c r="X273"/>
      <c r="Y273"/>
      <c r="Z273"/>
      <c r="AA273"/>
      <c r="AB273"/>
      <c r="AC273"/>
      <c r="AD273"/>
      <c r="AE273"/>
      <c r="AF273"/>
      <c r="AG273"/>
      <c r="AH273"/>
      <c r="AI273"/>
    </row>
    <row r="274" spans="1:35" s="33" customFormat="1" ht="15.75">
      <c r="A274" s="175"/>
      <c r="B274" s="163"/>
      <c r="C274" s="123"/>
      <c r="D274" s="123"/>
      <c r="E274" s="32"/>
      <c r="F274"/>
      <c r="G274"/>
      <c r="H274"/>
      <c r="I274"/>
      <c r="J274"/>
      <c r="K274"/>
      <c r="L274"/>
      <c r="M274"/>
      <c r="N274"/>
      <c r="O274"/>
      <c r="P274"/>
      <c r="Q274"/>
      <c r="R274"/>
      <c r="S274"/>
      <c r="T274"/>
      <c r="U274"/>
      <c r="V274"/>
      <c r="W274"/>
      <c r="X274"/>
      <c r="Y274"/>
      <c r="Z274"/>
      <c r="AA274"/>
      <c r="AB274"/>
      <c r="AC274"/>
      <c r="AD274"/>
      <c r="AE274"/>
      <c r="AF274"/>
      <c r="AG274"/>
      <c r="AH274"/>
      <c r="AI274"/>
    </row>
    <row r="275" spans="1:35" s="33" customFormat="1" ht="15.75">
      <c r="A275" s="175"/>
      <c r="B275" s="163"/>
      <c r="C275" s="123"/>
      <c r="D275" s="123"/>
      <c r="E275" s="32"/>
      <c r="F275"/>
      <c r="G275"/>
      <c r="H275"/>
      <c r="I275"/>
      <c r="J275"/>
      <c r="K275"/>
      <c r="L275"/>
      <c r="M275"/>
      <c r="N275"/>
      <c r="O275"/>
      <c r="P275"/>
      <c r="Q275"/>
      <c r="R275"/>
      <c r="S275"/>
      <c r="T275"/>
      <c r="U275"/>
      <c r="V275"/>
      <c r="W275"/>
      <c r="X275"/>
      <c r="Y275"/>
      <c r="Z275"/>
      <c r="AA275"/>
      <c r="AB275"/>
      <c r="AC275"/>
      <c r="AD275"/>
      <c r="AE275"/>
      <c r="AF275"/>
      <c r="AG275"/>
      <c r="AH275"/>
      <c r="AI275"/>
    </row>
    <row r="276" spans="1:35" s="33" customFormat="1" ht="15.75">
      <c r="A276" s="175"/>
      <c r="B276" s="163"/>
      <c r="C276" s="123"/>
      <c r="D276" s="123"/>
      <c r="E276" s="32"/>
      <c r="F276"/>
      <c r="G276"/>
      <c r="H276"/>
      <c r="I276"/>
      <c r="J276"/>
      <c r="K276"/>
      <c r="L276"/>
      <c r="M276"/>
      <c r="N276"/>
      <c r="O276"/>
      <c r="P276"/>
      <c r="Q276"/>
      <c r="R276"/>
      <c r="S276"/>
      <c r="T276"/>
      <c r="U276"/>
      <c r="V276"/>
      <c r="W276"/>
      <c r="X276"/>
      <c r="Y276"/>
      <c r="Z276"/>
      <c r="AA276"/>
      <c r="AB276"/>
      <c r="AC276"/>
      <c r="AD276"/>
      <c r="AE276"/>
      <c r="AF276"/>
      <c r="AG276"/>
      <c r="AH276"/>
      <c r="AI276"/>
    </row>
    <row r="277" spans="1:35" s="33" customFormat="1" ht="15.75">
      <c r="A277" s="175"/>
      <c r="B277" s="163"/>
      <c r="C277" s="123"/>
      <c r="D277" s="123"/>
      <c r="E277" s="32"/>
      <c r="F277"/>
      <c r="G277"/>
      <c r="H277"/>
      <c r="I277"/>
      <c r="J277"/>
      <c r="K277"/>
      <c r="L277"/>
      <c r="M277"/>
      <c r="N277"/>
      <c r="O277"/>
      <c r="P277"/>
      <c r="Q277"/>
      <c r="R277"/>
      <c r="S277"/>
      <c r="T277"/>
      <c r="U277"/>
      <c r="V277"/>
      <c r="W277"/>
      <c r="X277"/>
      <c r="Y277"/>
      <c r="Z277"/>
      <c r="AA277"/>
      <c r="AB277"/>
      <c r="AC277"/>
      <c r="AD277"/>
      <c r="AE277"/>
      <c r="AF277"/>
      <c r="AG277"/>
      <c r="AH277"/>
      <c r="AI277"/>
    </row>
    <row r="278" spans="1:35" s="33" customFormat="1" ht="15.75">
      <c r="A278" s="175"/>
      <c r="B278" s="163"/>
      <c r="C278" s="123"/>
      <c r="D278" s="123"/>
      <c r="E278" s="32"/>
      <c r="F278"/>
      <c r="G278"/>
      <c r="H278"/>
      <c r="I278"/>
      <c r="J278"/>
      <c r="K278"/>
      <c r="L278"/>
      <c r="M278"/>
      <c r="N278"/>
      <c r="O278"/>
      <c r="P278"/>
      <c r="Q278"/>
      <c r="R278"/>
      <c r="S278"/>
      <c r="T278"/>
      <c r="U278"/>
      <c r="V278"/>
      <c r="W278"/>
      <c r="X278"/>
      <c r="Y278"/>
      <c r="Z278"/>
      <c r="AA278"/>
      <c r="AB278"/>
      <c r="AC278"/>
      <c r="AD278"/>
      <c r="AE278"/>
      <c r="AF278"/>
      <c r="AG278"/>
      <c r="AH278"/>
      <c r="AI278"/>
    </row>
    <row r="279" spans="1:35" s="33" customFormat="1" ht="15.75">
      <c r="A279" s="175"/>
      <c r="B279" s="163"/>
      <c r="C279" s="123"/>
      <c r="D279" s="123"/>
      <c r="E279" s="32"/>
      <c r="F279"/>
      <c r="G279"/>
      <c r="H279"/>
      <c r="I279"/>
      <c r="J279"/>
      <c r="K279"/>
      <c r="L279"/>
      <c r="M279"/>
      <c r="N279"/>
      <c r="O279"/>
      <c r="P279"/>
      <c r="Q279"/>
      <c r="R279"/>
      <c r="S279"/>
      <c r="T279"/>
      <c r="U279"/>
      <c r="V279"/>
      <c r="W279"/>
      <c r="X279"/>
      <c r="Y279"/>
      <c r="Z279"/>
      <c r="AA279"/>
      <c r="AB279"/>
      <c r="AC279"/>
      <c r="AD279"/>
      <c r="AE279"/>
      <c r="AF279"/>
      <c r="AG279"/>
      <c r="AH279"/>
      <c r="AI279"/>
    </row>
    <row r="280" spans="1:35" s="33" customFormat="1" ht="15.75">
      <c r="A280" s="175"/>
      <c r="B280" s="163"/>
      <c r="C280" s="123"/>
      <c r="D280" s="123"/>
      <c r="E280" s="32"/>
      <c r="F280"/>
      <c r="G280"/>
      <c r="H280"/>
      <c r="I280"/>
      <c r="J280"/>
      <c r="K280"/>
      <c r="L280"/>
      <c r="M280"/>
      <c r="N280"/>
      <c r="O280"/>
      <c r="P280"/>
      <c r="Q280"/>
      <c r="R280"/>
      <c r="S280"/>
      <c r="T280"/>
      <c r="U280"/>
      <c r="V280"/>
      <c r="W280"/>
      <c r="X280"/>
      <c r="Y280"/>
      <c r="Z280"/>
      <c r="AA280"/>
      <c r="AB280"/>
      <c r="AC280"/>
      <c r="AD280"/>
      <c r="AE280"/>
      <c r="AF280"/>
      <c r="AG280"/>
      <c r="AH280"/>
      <c r="AI280"/>
    </row>
    <row r="281" spans="1:35" s="33" customFormat="1" ht="15.75">
      <c r="A281" s="175"/>
      <c r="B281" s="163"/>
      <c r="C281" s="123"/>
      <c r="D281" s="123"/>
      <c r="E281" s="32"/>
      <c r="F281"/>
      <c r="G281"/>
      <c r="H281"/>
      <c r="I281"/>
      <c r="J281"/>
      <c r="K281"/>
      <c r="L281"/>
      <c r="M281"/>
      <c r="N281"/>
      <c r="O281"/>
      <c r="P281"/>
      <c r="Q281"/>
      <c r="R281"/>
      <c r="S281"/>
      <c r="T281"/>
      <c r="U281"/>
      <c r="V281"/>
      <c r="W281"/>
      <c r="X281"/>
      <c r="Y281"/>
      <c r="Z281"/>
      <c r="AA281"/>
      <c r="AB281"/>
      <c r="AC281"/>
      <c r="AD281"/>
      <c r="AE281"/>
      <c r="AF281"/>
      <c r="AG281"/>
      <c r="AH281"/>
      <c r="AI281"/>
    </row>
    <row r="282" spans="1:35" s="33" customFormat="1" ht="15.75">
      <c r="A282" s="175"/>
      <c r="B282" s="163"/>
      <c r="C282" s="123"/>
      <c r="D282" s="123"/>
      <c r="E282" s="32"/>
      <c r="F282"/>
      <c r="G282"/>
      <c r="H282"/>
      <c r="I282"/>
      <c r="J282"/>
      <c r="K282"/>
      <c r="L282"/>
      <c r="M282"/>
      <c r="N282"/>
      <c r="O282"/>
      <c r="P282"/>
      <c r="Q282"/>
      <c r="R282"/>
      <c r="S282"/>
      <c r="T282"/>
      <c r="U282"/>
      <c r="V282"/>
      <c r="W282"/>
      <c r="X282"/>
      <c r="Y282"/>
      <c r="Z282"/>
      <c r="AA282"/>
      <c r="AB282"/>
      <c r="AC282"/>
      <c r="AD282"/>
      <c r="AE282"/>
      <c r="AF282"/>
      <c r="AG282"/>
      <c r="AH282"/>
      <c r="AI282"/>
    </row>
    <row r="283" spans="1:35" s="33" customFormat="1" ht="15.75">
      <c r="A283" s="175"/>
      <c r="B283" s="163"/>
      <c r="C283" s="123"/>
      <c r="D283" s="123"/>
      <c r="E283" s="32"/>
      <c r="F283"/>
      <c r="G283"/>
      <c r="H283"/>
      <c r="I283"/>
      <c r="J283"/>
      <c r="K283"/>
      <c r="L283"/>
      <c r="M283"/>
      <c r="N283"/>
      <c r="O283"/>
      <c r="P283"/>
      <c r="Q283"/>
      <c r="R283"/>
      <c r="S283"/>
      <c r="T283"/>
      <c r="U283"/>
      <c r="V283"/>
      <c r="W283"/>
      <c r="X283"/>
      <c r="Y283"/>
      <c r="Z283"/>
      <c r="AA283"/>
      <c r="AB283"/>
      <c r="AC283"/>
      <c r="AD283"/>
      <c r="AE283"/>
      <c r="AF283"/>
      <c r="AG283"/>
      <c r="AH283"/>
      <c r="AI283"/>
    </row>
    <row r="284" spans="1:35" s="33" customFormat="1" ht="15.75">
      <c r="A284" s="175"/>
      <c r="B284" s="163"/>
      <c r="C284" s="123"/>
      <c r="D284" s="123"/>
      <c r="E284" s="32"/>
      <c r="F284"/>
      <c r="G284"/>
      <c r="H284"/>
      <c r="I284"/>
      <c r="J284"/>
      <c r="K284"/>
      <c r="L284"/>
      <c r="M284"/>
      <c r="N284"/>
      <c r="O284"/>
      <c r="P284"/>
      <c r="Q284"/>
      <c r="R284"/>
      <c r="S284"/>
      <c r="T284"/>
      <c r="U284"/>
      <c r="V284"/>
      <c r="W284"/>
      <c r="X284"/>
      <c r="Y284"/>
      <c r="Z284"/>
      <c r="AA284"/>
      <c r="AB284"/>
      <c r="AC284"/>
      <c r="AD284"/>
      <c r="AE284"/>
      <c r="AF284"/>
      <c r="AG284"/>
      <c r="AH284"/>
      <c r="AI284"/>
    </row>
    <row r="285" spans="1:35" s="33" customFormat="1" ht="15.75">
      <c r="A285" s="175"/>
      <c r="B285" s="163"/>
      <c r="C285" s="123"/>
      <c r="D285" s="123"/>
      <c r="E285" s="32"/>
      <c r="F285"/>
      <c r="G285"/>
      <c r="H285"/>
      <c r="I285"/>
      <c r="J285"/>
      <c r="K285"/>
      <c r="L285"/>
      <c r="M285"/>
      <c r="N285"/>
      <c r="O285"/>
      <c r="P285"/>
      <c r="Q285"/>
      <c r="R285"/>
      <c r="S285"/>
      <c r="T285"/>
      <c r="U285"/>
      <c r="V285"/>
      <c r="W285"/>
      <c r="X285"/>
      <c r="Y285"/>
      <c r="Z285"/>
      <c r="AA285"/>
      <c r="AB285"/>
      <c r="AC285"/>
      <c r="AD285"/>
      <c r="AE285"/>
      <c r="AF285"/>
      <c r="AG285"/>
      <c r="AH285"/>
      <c r="AI285"/>
    </row>
    <row r="286" spans="1:35" s="33" customFormat="1" ht="15.75">
      <c r="A286" s="175"/>
      <c r="B286" s="163"/>
      <c r="C286" s="123"/>
      <c r="D286" s="123"/>
      <c r="E286" s="32"/>
      <c r="F286"/>
      <c r="G286"/>
      <c r="H286"/>
      <c r="I286"/>
      <c r="J286"/>
      <c r="K286"/>
      <c r="L286"/>
      <c r="M286"/>
      <c r="N286"/>
      <c r="O286"/>
      <c r="P286"/>
      <c r="Q286"/>
      <c r="R286"/>
      <c r="S286"/>
      <c r="T286"/>
      <c r="U286"/>
      <c r="V286"/>
      <c r="W286"/>
      <c r="X286"/>
      <c r="Y286"/>
      <c r="Z286"/>
      <c r="AA286"/>
      <c r="AB286"/>
      <c r="AC286"/>
      <c r="AD286"/>
      <c r="AE286"/>
      <c r="AF286"/>
      <c r="AG286"/>
      <c r="AH286"/>
      <c r="AI286"/>
    </row>
    <row r="287" spans="1:35" s="33" customFormat="1" ht="15.75">
      <c r="A287" s="175"/>
      <c r="B287" s="163"/>
      <c r="C287" s="123"/>
      <c r="D287" s="123"/>
      <c r="E287" s="32"/>
      <c r="F287"/>
      <c r="G287"/>
      <c r="H287"/>
      <c r="I287"/>
      <c r="J287"/>
      <c r="K287"/>
      <c r="L287"/>
      <c r="M287"/>
      <c r="N287"/>
      <c r="O287"/>
      <c r="P287"/>
      <c r="Q287"/>
      <c r="R287"/>
      <c r="S287"/>
      <c r="T287"/>
      <c r="U287"/>
      <c r="V287"/>
      <c r="W287"/>
      <c r="X287"/>
      <c r="Y287"/>
      <c r="Z287"/>
      <c r="AA287"/>
      <c r="AB287"/>
      <c r="AC287"/>
      <c r="AD287"/>
      <c r="AE287"/>
      <c r="AF287"/>
      <c r="AG287"/>
      <c r="AH287"/>
      <c r="AI287"/>
    </row>
    <row r="288" spans="1:35" s="33" customFormat="1" ht="15.75">
      <c r="A288" s="175"/>
      <c r="B288" s="163"/>
      <c r="C288" s="123"/>
      <c r="D288" s="123"/>
      <c r="E288" s="32"/>
      <c r="F288"/>
      <c r="G288"/>
      <c r="H288"/>
      <c r="I288"/>
      <c r="J288"/>
      <c r="K288"/>
      <c r="L288"/>
      <c r="M288"/>
      <c r="N288"/>
      <c r="O288"/>
      <c r="P288"/>
      <c r="Q288"/>
      <c r="R288"/>
      <c r="S288"/>
      <c r="T288"/>
      <c r="U288"/>
      <c r="V288"/>
      <c r="W288"/>
      <c r="X288"/>
      <c r="Y288"/>
      <c r="Z288"/>
      <c r="AA288"/>
      <c r="AB288"/>
      <c r="AC288"/>
      <c r="AD288"/>
      <c r="AE288"/>
      <c r="AF288"/>
      <c r="AG288"/>
      <c r="AH288"/>
      <c r="AI288"/>
    </row>
    <row r="289" spans="1:35" s="33" customFormat="1" ht="15.75">
      <c r="A289" s="175"/>
      <c r="B289" s="163"/>
      <c r="C289" s="123"/>
      <c r="D289" s="123"/>
      <c r="E289" s="32"/>
      <c r="F289"/>
      <c r="G289"/>
      <c r="H289"/>
      <c r="I289"/>
      <c r="J289"/>
      <c r="K289"/>
      <c r="L289"/>
      <c r="M289"/>
      <c r="N289"/>
      <c r="O289"/>
      <c r="P289"/>
      <c r="Q289"/>
      <c r="R289"/>
      <c r="S289"/>
      <c r="T289"/>
      <c r="U289"/>
      <c r="V289"/>
      <c r="W289"/>
      <c r="X289"/>
      <c r="Y289"/>
      <c r="Z289"/>
      <c r="AA289"/>
      <c r="AB289"/>
      <c r="AC289"/>
      <c r="AD289"/>
      <c r="AE289"/>
      <c r="AF289"/>
      <c r="AG289"/>
      <c r="AH289"/>
      <c r="AI289"/>
    </row>
    <row r="290" spans="1:35" s="33" customFormat="1" ht="15.75">
      <c r="A290" s="175"/>
      <c r="B290" s="163"/>
      <c r="C290" s="123"/>
      <c r="D290" s="123"/>
      <c r="E290" s="32"/>
      <c r="F290"/>
      <c r="G290"/>
      <c r="H290"/>
      <c r="I290"/>
      <c r="J290"/>
      <c r="K290"/>
      <c r="L290"/>
      <c r="M290"/>
      <c r="N290"/>
      <c r="O290"/>
      <c r="P290"/>
      <c r="Q290"/>
      <c r="R290"/>
      <c r="S290"/>
      <c r="T290"/>
      <c r="U290"/>
      <c r="V290"/>
      <c r="W290"/>
      <c r="X290"/>
      <c r="Y290"/>
      <c r="Z290"/>
      <c r="AA290"/>
      <c r="AB290"/>
      <c r="AC290"/>
      <c r="AD290"/>
      <c r="AE290"/>
      <c r="AF290"/>
      <c r="AG290"/>
      <c r="AH290"/>
      <c r="AI290"/>
    </row>
    <row r="291" spans="1:35" s="33" customFormat="1" ht="15.75">
      <c r="A291" s="175"/>
      <c r="B291" s="163"/>
      <c r="C291" s="123"/>
      <c r="D291" s="123"/>
      <c r="E291" s="32"/>
      <c r="F291"/>
      <c r="G291"/>
      <c r="H291"/>
      <c r="I291"/>
      <c r="J291"/>
      <c r="K291"/>
      <c r="L291"/>
      <c r="M291"/>
      <c r="N291"/>
      <c r="O291"/>
      <c r="P291"/>
      <c r="Q291"/>
      <c r="R291"/>
      <c r="S291"/>
      <c r="T291"/>
      <c r="U291"/>
      <c r="V291"/>
      <c r="W291"/>
      <c r="X291"/>
      <c r="Y291"/>
      <c r="Z291"/>
      <c r="AA291"/>
      <c r="AB291"/>
      <c r="AC291"/>
      <c r="AD291"/>
      <c r="AE291"/>
      <c r="AF291"/>
      <c r="AG291"/>
      <c r="AH291"/>
      <c r="AI291"/>
    </row>
    <row r="292" spans="1:35" s="33" customFormat="1" ht="15.75">
      <c r="A292" s="175"/>
      <c r="B292" s="163"/>
      <c r="C292" s="123"/>
      <c r="D292" s="123"/>
      <c r="E292" s="32"/>
      <c r="F292"/>
      <c r="G292"/>
      <c r="H292"/>
      <c r="I292"/>
      <c r="J292"/>
      <c r="K292"/>
      <c r="L292"/>
      <c r="M292"/>
      <c r="N292"/>
      <c r="O292"/>
      <c r="P292"/>
      <c r="Q292"/>
      <c r="R292"/>
      <c r="S292"/>
      <c r="T292"/>
      <c r="U292"/>
      <c r="V292"/>
      <c r="W292"/>
      <c r="X292"/>
      <c r="Y292"/>
      <c r="Z292"/>
      <c r="AA292"/>
      <c r="AB292"/>
      <c r="AC292"/>
      <c r="AD292"/>
      <c r="AE292"/>
      <c r="AF292"/>
      <c r="AG292"/>
      <c r="AH292"/>
      <c r="AI292"/>
    </row>
    <row r="293" spans="1:35" s="33" customFormat="1" ht="15.75">
      <c r="A293" s="175"/>
      <c r="B293" s="163"/>
      <c r="C293" s="123"/>
      <c r="D293" s="123"/>
      <c r="E293" s="32"/>
      <c r="F293"/>
      <c r="G293"/>
      <c r="H293"/>
      <c r="I293"/>
      <c r="J293"/>
      <c r="K293"/>
      <c r="L293"/>
      <c r="M293"/>
      <c r="N293"/>
      <c r="O293"/>
      <c r="P293"/>
      <c r="Q293"/>
      <c r="R293"/>
      <c r="S293"/>
      <c r="T293"/>
      <c r="U293"/>
      <c r="V293"/>
      <c r="W293"/>
      <c r="X293"/>
      <c r="Y293"/>
      <c r="Z293"/>
      <c r="AA293"/>
      <c r="AB293"/>
      <c r="AC293"/>
      <c r="AD293"/>
      <c r="AE293"/>
      <c r="AF293"/>
      <c r="AG293"/>
      <c r="AH293"/>
      <c r="AI293"/>
    </row>
    <row r="294" spans="1:35" s="33" customFormat="1" ht="15.75">
      <c r="A294" s="175"/>
      <c r="B294" s="163"/>
      <c r="C294" s="123"/>
      <c r="D294" s="123"/>
      <c r="E294" s="32"/>
      <c r="F294"/>
      <c r="G294"/>
      <c r="H294"/>
      <c r="I294"/>
      <c r="J294"/>
      <c r="K294"/>
      <c r="L294"/>
      <c r="M294"/>
      <c r="N294"/>
      <c r="O294"/>
      <c r="P294"/>
      <c r="Q294"/>
      <c r="R294"/>
      <c r="S294"/>
      <c r="T294"/>
      <c r="U294"/>
      <c r="V294"/>
      <c r="W294"/>
      <c r="X294"/>
      <c r="Y294"/>
      <c r="Z294"/>
      <c r="AA294"/>
      <c r="AB294"/>
      <c r="AC294"/>
      <c r="AD294"/>
      <c r="AE294"/>
      <c r="AF294"/>
      <c r="AG294"/>
      <c r="AH294"/>
      <c r="AI294"/>
    </row>
    <row r="295" spans="1:35" s="33" customFormat="1" ht="15.75">
      <c r="A295" s="175"/>
      <c r="B295" s="163"/>
      <c r="C295" s="123"/>
      <c r="D295" s="123"/>
      <c r="E295" s="32"/>
      <c r="F295"/>
      <c r="G295"/>
      <c r="H295"/>
      <c r="I295"/>
      <c r="J295"/>
      <c r="K295"/>
      <c r="L295"/>
      <c r="M295"/>
      <c r="N295"/>
      <c r="O295"/>
      <c r="P295"/>
      <c r="Q295"/>
      <c r="R295"/>
      <c r="S295"/>
      <c r="T295"/>
      <c r="U295"/>
      <c r="V295"/>
      <c r="W295"/>
      <c r="X295"/>
      <c r="Y295"/>
      <c r="Z295"/>
      <c r="AA295"/>
      <c r="AB295"/>
      <c r="AC295"/>
      <c r="AD295"/>
      <c r="AE295"/>
      <c r="AF295"/>
      <c r="AG295"/>
      <c r="AH295"/>
      <c r="AI295"/>
    </row>
    <row r="296" spans="1:35" s="33" customFormat="1" ht="15.75">
      <c r="A296" s="175"/>
      <c r="B296" s="163"/>
      <c r="C296" s="123"/>
      <c r="D296" s="123"/>
      <c r="E296" s="32"/>
      <c r="F296"/>
      <c r="G296"/>
      <c r="H296"/>
      <c r="I296"/>
      <c r="J296"/>
      <c r="K296"/>
      <c r="L296"/>
      <c r="M296"/>
      <c r="N296"/>
      <c r="O296"/>
      <c r="P296"/>
      <c r="Q296"/>
      <c r="R296"/>
      <c r="S296"/>
      <c r="T296"/>
      <c r="U296"/>
      <c r="V296"/>
      <c r="W296"/>
      <c r="X296"/>
      <c r="Y296"/>
      <c r="Z296"/>
      <c r="AA296"/>
      <c r="AB296"/>
      <c r="AC296"/>
      <c r="AD296"/>
      <c r="AE296"/>
      <c r="AF296"/>
      <c r="AG296"/>
      <c r="AH296"/>
      <c r="AI296"/>
    </row>
    <row r="297" spans="1:35" s="33" customFormat="1" ht="15.75">
      <c r="A297" s="175"/>
      <c r="B297" s="163"/>
      <c r="C297" s="123"/>
      <c r="D297" s="123"/>
      <c r="E297" s="32"/>
      <c r="F297"/>
      <c r="G297"/>
      <c r="H297"/>
      <c r="I297"/>
      <c r="J297"/>
      <c r="K297"/>
      <c r="L297"/>
      <c r="M297"/>
      <c r="N297"/>
      <c r="O297"/>
      <c r="P297"/>
      <c r="Q297"/>
      <c r="R297"/>
      <c r="S297"/>
      <c r="T297"/>
      <c r="U297"/>
      <c r="V297"/>
      <c r="W297"/>
      <c r="X297"/>
      <c r="Y297"/>
      <c r="Z297"/>
      <c r="AA297"/>
      <c r="AB297"/>
      <c r="AC297"/>
      <c r="AD297"/>
      <c r="AE297"/>
      <c r="AF297"/>
      <c r="AG297"/>
      <c r="AH297"/>
      <c r="AI297"/>
    </row>
    <row r="298" spans="1:35" s="33" customFormat="1" ht="15.75">
      <c r="A298" s="175"/>
      <c r="B298" s="163"/>
      <c r="C298" s="123"/>
      <c r="D298" s="123"/>
      <c r="E298" s="32"/>
      <c r="F298"/>
      <c r="G298"/>
      <c r="H298"/>
      <c r="I298"/>
      <c r="J298"/>
      <c r="K298"/>
      <c r="L298"/>
      <c r="M298"/>
      <c r="N298"/>
      <c r="O298"/>
      <c r="P298"/>
      <c r="Q298"/>
      <c r="R298"/>
      <c r="S298"/>
      <c r="T298"/>
      <c r="U298"/>
      <c r="V298"/>
      <c r="W298"/>
      <c r="X298"/>
      <c r="Y298"/>
      <c r="Z298"/>
      <c r="AA298"/>
      <c r="AB298"/>
      <c r="AC298"/>
      <c r="AD298"/>
      <c r="AE298"/>
      <c r="AF298"/>
      <c r="AG298"/>
      <c r="AH298"/>
      <c r="AI298"/>
    </row>
    <row r="299" spans="1:35" s="33" customFormat="1" ht="15.75">
      <c r="A299" s="175"/>
      <c r="B299" s="163"/>
      <c r="C299" s="123"/>
      <c r="D299" s="123"/>
      <c r="E299" s="32"/>
      <c r="F299"/>
      <c r="G299"/>
      <c r="H299"/>
      <c r="I299"/>
      <c r="J299"/>
      <c r="K299"/>
      <c r="L299"/>
      <c r="M299"/>
      <c r="N299"/>
      <c r="O299"/>
      <c r="P299"/>
      <c r="Q299"/>
      <c r="R299"/>
      <c r="S299"/>
      <c r="T299"/>
      <c r="U299"/>
      <c r="V299"/>
      <c r="W299"/>
      <c r="X299"/>
      <c r="Y299"/>
      <c r="Z299"/>
      <c r="AA299"/>
      <c r="AB299"/>
      <c r="AC299"/>
      <c r="AD299"/>
      <c r="AE299"/>
      <c r="AF299"/>
      <c r="AG299"/>
      <c r="AH299"/>
      <c r="AI299"/>
    </row>
    <row r="300" spans="1:35" s="33" customFormat="1" ht="15.75">
      <c r="A300" s="175"/>
      <c r="B300" s="163"/>
      <c r="C300" s="123"/>
      <c r="D300" s="123"/>
      <c r="E300" s="32"/>
      <c r="F300"/>
      <c r="G300"/>
      <c r="H300"/>
      <c r="I300"/>
      <c r="J300"/>
      <c r="K300"/>
      <c r="L300"/>
      <c r="M300"/>
      <c r="N300"/>
      <c r="O300"/>
      <c r="P300"/>
      <c r="Q300"/>
      <c r="R300"/>
      <c r="S300"/>
      <c r="T300"/>
      <c r="U300"/>
      <c r="V300"/>
      <c r="W300"/>
      <c r="X300"/>
      <c r="Y300"/>
      <c r="Z300"/>
      <c r="AA300"/>
      <c r="AB300"/>
      <c r="AC300"/>
      <c r="AD300"/>
      <c r="AE300"/>
      <c r="AF300"/>
      <c r="AG300"/>
      <c r="AH300"/>
      <c r="AI300"/>
    </row>
    <row r="301" spans="1:35" s="33" customFormat="1" ht="15.75">
      <c r="A301" s="175"/>
      <c r="B301" s="163"/>
      <c r="C301" s="123"/>
      <c r="D301" s="123"/>
      <c r="E301" s="32"/>
      <c r="F301"/>
      <c r="G301"/>
      <c r="H301"/>
      <c r="I301"/>
      <c r="J301"/>
      <c r="K301"/>
      <c r="L301"/>
      <c r="M301"/>
      <c r="N301"/>
      <c r="O301"/>
      <c r="P301"/>
      <c r="Q301"/>
      <c r="R301"/>
      <c r="S301"/>
      <c r="T301"/>
      <c r="U301"/>
      <c r="V301"/>
      <c r="W301"/>
      <c r="X301"/>
      <c r="Y301"/>
      <c r="Z301"/>
      <c r="AA301"/>
      <c r="AB301"/>
      <c r="AC301"/>
      <c r="AD301"/>
      <c r="AE301"/>
      <c r="AF301"/>
      <c r="AG301"/>
      <c r="AH301"/>
      <c r="AI301"/>
    </row>
    <row r="302" spans="1:35" s="33" customFormat="1" ht="15.75">
      <c r="A302" s="175"/>
      <c r="B302" s="163"/>
      <c r="C302" s="123"/>
      <c r="D302" s="123"/>
      <c r="E302" s="32"/>
      <c r="F302"/>
      <c r="G302"/>
      <c r="H302"/>
      <c r="I302"/>
      <c r="J302"/>
      <c r="K302"/>
      <c r="L302"/>
      <c r="M302"/>
      <c r="N302"/>
      <c r="O302"/>
      <c r="P302"/>
      <c r="Q302"/>
      <c r="R302"/>
      <c r="S302"/>
      <c r="T302"/>
      <c r="U302"/>
      <c r="V302"/>
      <c r="W302"/>
      <c r="X302"/>
      <c r="Y302"/>
      <c r="Z302"/>
      <c r="AA302"/>
      <c r="AB302"/>
      <c r="AC302"/>
      <c r="AD302"/>
      <c r="AE302"/>
      <c r="AF302"/>
      <c r="AG302"/>
      <c r="AH302"/>
      <c r="AI302"/>
    </row>
    <row r="303" spans="1:35" s="33" customFormat="1" ht="15.75">
      <c r="A303" s="175"/>
      <c r="B303" s="163"/>
      <c r="C303" s="123"/>
      <c r="D303" s="123"/>
      <c r="E303" s="32"/>
      <c r="F303"/>
      <c r="G303"/>
      <c r="H303"/>
      <c r="I303"/>
      <c r="J303"/>
      <c r="K303"/>
      <c r="L303"/>
      <c r="M303"/>
      <c r="N303"/>
      <c r="O303"/>
      <c r="P303"/>
      <c r="Q303"/>
      <c r="R303"/>
      <c r="S303"/>
      <c r="T303"/>
      <c r="U303"/>
      <c r="V303"/>
      <c r="W303"/>
      <c r="X303"/>
      <c r="Y303"/>
      <c r="Z303"/>
      <c r="AA303"/>
      <c r="AB303"/>
      <c r="AC303"/>
      <c r="AD303"/>
      <c r="AE303"/>
      <c r="AF303"/>
      <c r="AG303"/>
      <c r="AH303"/>
      <c r="AI303"/>
    </row>
    <row r="304" spans="1:35" s="33" customFormat="1" ht="15.75">
      <c r="A304" s="175"/>
      <c r="B304" s="163"/>
      <c r="C304" s="123"/>
      <c r="D304" s="123"/>
      <c r="E304" s="32"/>
      <c r="F304"/>
      <c r="G304"/>
      <c r="H304"/>
      <c r="I304"/>
      <c r="J304"/>
      <c r="K304"/>
      <c r="L304"/>
      <c r="M304"/>
      <c r="N304"/>
      <c r="O304"/>
      <c r="P304"/>
      <c r="Q304"/>
      <c r="R304"/>
      <c r="S304"/>
      <c r="T304"/>
      <c r="U304"/>
      <c r="V304"/>
      <c r="W304"/>
      <c r="X304"/>
      <c r="Y304"/>
      <c r="Z304"/>
      <c r="AA304"/>
      <c r="AB304"/>
      <c r="AC304"/>
      <c r="AD304"/>
      <c r="AE304"/>
      <c r="AF304"/>
      <c r="AG304"/>
      <c r="AH304"/>
      <c r="AI304"/>
    </row>
    <row r="305" spans="1:35" s="33" customFormat="1" ht="15.75">
      <c r="A305" s="175"/>
      <c r="B305" s="163"/>
      <c r="C305" s="123"/>
      <c r="D305" s="123"/>
      <c r="E305" s="32"/>
      <c r="F305"/>
      <c r="G305"/>
      <c r="H305"/>
      <c r="I305"/>
      <c r="J305"/>
      <c r="K305"/>
      <c r="L305"/>
      <c r="M305"/>
      <c r="N305"/>
      <c r="O305"/>
      <c r="P305"/>
      <c r="Q305"/>
      <c r="R305"/>
      <c r="S305"/>
      <c r="T305"/>
      <c r="U305"/>
      <c r="V305"/>
      <c r="W305"/>
      <c r="X305"/>
      <c r="Y305"/>
      <c r="Z305"/>
      <c r="AA305"/>
      <c r="AB305"/>
      <c r="AC305"/>
      <c r="AD305"/>
      <c r="AE305"/>
      <c r="AF305"/>
      <c r="AG305"/>
      <c r="AH305"/>
      <c r="AI305"/>
    </row>
    <row r="306" spans="1:35" s="33" customFormat="1" ht="15.75">
      <c r="A306" s="175"/>
      <c r="B306" s="163"/>
      <c r="C306" s="123"/>
      <c r="D306" s="123"/>
      <c r="E306" s="32"/>
      <c r="F306"/>
      <c r="G306"/>
      <c r="H306"/>
      <c r="I306"/>
      <c r="J306"/>
      <c r="K306"/>
      <c r="L306"/>
      <c r="M306"/>
      <c r="N306"/>
      <c r="O306"/>
      <c r="P306"/>
      <c r="Q306"/>
      <c r="R306"/>
      <c r="S306"/>
      <c r="T306"/>
      <c r="U306"/>
      <c r="V306"/>
      <c r="W306"/>
      <c r="X306"/>
      <c r="Y306"/>
      <c r="Z306"/>
      <c r="AA306"/>
      <c r="AB306"/>
      <c r="AC306"/>
      <c r="AD306"/>
      <c r="AE306"/>
      <c r="AF306"/>
      <c r="AG306"/>
      <c r="AH306"/>
      <c r="AI306"/>
    </row>
    <row r="307" spans="1:35" s="33" customFormat="1" ht="15.75">
      <c r="A307" s="175"/>
      <c r="B307" s="163"/>
      <c r="C307" s="123"/>
      <c r="D307" s="123"/>
      <c r="E307" s="32"/>
      <c r="F307"/>
      <c r="G307"/>
      <c r="H307"/>
      <c r="I307"/>
      <c r="J307"/>
      <c r="K307"/>
      <c r="L307"/>
      <c r="M307"/>
      <c r="N307"/>
      <c r="O307"/>
      <c r="P307"/>
      <c r="Q307"/>
      <c r="R307"/>
      <c r="S307"/>
      <c r="T307"/>
      <c r="U307"/>
      <c r="V307"/>
      <c r="W307"/>
      <c r="X307"/>
      <c r="Y307"/>
      <c r="Z307"/>
      <c r="AA307"/>
      <c r="AB307"/>
      <c r="AC307"/>
      <c r="AD307"/>
      <c r="AE307"/>
      <c r="AF307"/>
      <c r="AG307"/>
      <c r="AH307"/>
      <c r="AI307"/>
    </row>
    <row r="308" spans="1:35" s="33" customFormat="1" ht="15.75">
      <c r="A308" s="175"/>
      <c r="B308" s="163"/>
      <c r="C308" s="123"/>
      <c r="D308" s="123"/>
      <c r="E308" s="32"/>
      <c r="F308"/>
      <c r="G308"/>
      <c r="H308"/>
      <c r="I308"/>
      <c r="J308"/>
      <c r="K308"/>
      <c r="L308"/>
      <c r="M308"/>
      <c r="N308"/>
      <c r="O308"/>
      <c r="P308"/>
      <c r="Q308"/>
      <c r="R308"/>
      <c r="S308"/>
      <c r="T308"/>
      <c r="U308"/>
      <c r="V308"/>
      <c r="W308"/>
      <c r="X308"/>
      <c r="Y308"/>
      <c r="Z308"/>
      <c r="AA308"/>
      <c r="AB308"/>
      <c r="AC308"/>
      <c r="AD308"/>
      <c r="AE308"/>
      <c r="AF308"/>
      <c r="AG308"/>
      <c r="AH308"/>
      <c r="AI308"/>
    </row>
    <row r="309" spans="1:35" s="33" customFormat="1" ht="15.75">
      <c r="A309" s="175"/>
      <c r="B309" s="163"/>
      <c r="C309" s="123"/>
      <c r="D309" s="123"/>
      <c r="E309" s="32"/>
      <c r="F309"/>
      <c r="G309"/>
      <c r="H309"/>
      <c r="I309"/>
      <c r="J309"/>
      <c r="K309"/>
      <c r="L309"/>
      <c r="M309"/>
      <c r="N309"/>
      <c r="O309"/>
      <c r="P309"/>
      <c r="Q309"/>
      <c r="R309"/>
      <c r="S309"/>
      <c r="T309"/>
      <c r="U309"/>
      <c r="V309"/>
      <c r="W309"/>
      <c r="X309"/>
      <c r="Y309"/>
      <c r="Z309"/>
      <c r="AA309"/>
      <c r="AB309"/>
      <c r="AC309"/>
      <c r="AD309"/>
      <c r="AE309"/>
      <c r="AF309"/>
      <c r="AG309"/>
      <c r="AH309"/>
      <c r="AI309"/>
    </row>
    <row r="310" spans="1:35" s="33" customFormat="1" ht="15.75">
      <c r="A310" s="175"/>
      <c r="B310" s="163"/>
      <c r="C310" s="123"/>
      <c r="D310" s="123"/>
      <c r="E310" s="32"/>
      <c r="F310"/>
      <c r="G310"/>
      <c r="H310"/>
      <c r="I310"/>
      <c r="J310"/>
      <c r="K310"/>
      <c r="L310"/>
      <c r="M310"/>
      <c r="N310"/>
      <c r="O310"/>
      <c r="P310"/>
      <c r="Q310"/>
      <c r="R310"/>
      <c r="S310"/>
      <c r="T310"/>
      <c r="U310"/>
      <c r="V310"/>
      <c r="W310"/>
      <c r="X310"/>
      <c r="Y310"/>
      <c r="Z310"/>
      <c r="AA310"/>
      <c r="AB310"/>
      <c r="AC310"/>
      <c r="AD310"/>
      <c r="AE310"/>
      <c r="AF310"/>
      <c r="AG310"/>
      <c r="AH310"/>
      <c r="AI310"/>
    </row>
    <row r="311" spans="1:35" s="33" customFormat="1" ht="15.75">
      <c r="A311" s="175"/>
      <c r="B311" s="163"/>
      <c r="C311" s="123"/>
      <c r="D311" s="123"/>
      <c r="E311" s="32"/>
      <c r="F311"/>
      <c r="G311"/>
      <c r="H311"/>
      <c r="I311"/>
      <c r="J311"/>
      <c r="K311"/>
      <c r="L311"/>
      <c r="M311"/>
      <c r="N311"/>
      <c r="O311"/>
      <c r="P311"/>
      <c r="Q311"/>
      <c r="R311"/>
      <c r="S311"/>
      <c r="T311"/>
      <c r="U311"/>
      <c r="V311"/>
      <c r="W311"/>
      <c r="X311"/>
      <c r="Y311"/>
      <c r="Z311"/>
      <c r="AA311"/>
      <c r="AB311"/>
      <c r="AC311"/>
      <c r="AD311"/>
      <c r="AE311"/>
      <c r="AF311"/>
      <c r="AG311"/>
      <c r="AH311"/>
      <c r="AI311"/>
    </row>
    <row r="312" spans="1:35" s="33" customFormat="1" ht="15.75">
      <c r="A312" s="175"/>
      <c r="B312" s="163"/>
      <c r="C312" s="123"/>
      <c r="D312" s="123"/>
      <c r="E312" s="32"/>
      <c r="F312"/>
      <c r="G312"/>
      <c r="H312"/>
      <c r="I312"/>
      <c r="J312"/>
      <c r="K312"/>
      <c r="L312"/>
      <c r="M312"/>
      <c r="N312"/>
      <c r="O312"/>
      <c r="P312"/>
      <c r="Q312"/>
      <c r="R312"/>
      <c r="S312"/>
      <c r="T312"/>
      <c r="U312"/>
      <c r="V312"/>
      <c r="W312"/>
      <c r="X312"/>
      <c r="Y312"/>
      <c r="Z312"/>
      <c r="AA312"/>
      <c r="AB312"/>
      <c r="AC312"/>
      <c r="AD312"/>
      <c r="AE312"/>
      <c r="AF312"/>
      <c r="AG312"/>
      <c r="AH312"/>
      <c r="AI312"/>
    </row>
    <row r="313" spans="1:35" s="33" customFormat="1" ht="15.75">
      <c r="A313" s="175"/>
      <c r="B313" s="163"/>
      <c r="C313" s="123"/>
      <c r="D313" s="123"/>
      <c r="E313" s="32"/>
      <c r="F313"/>
      <c r="G313"/>
      <c r="H313"/>
      <c r="I313"/>
      <c r="J313"/>
      <c r="K313"/>
      <c r="L313"/>
      <c r="M313"/>
      <c r="N313"/>
      <c r="O313"/>
      <c r="P313"/>
      <c r="Q313"/>
      <c r="R313"/>
      <c r="S313"/>
      <c r="T313"/>
      <c r="U313"/>
      <c r="V313"/>
      <c r="W313"/>
      <c r="X313"/>
      <c r="Y313"/>
      <c r="Z313"/>
      <c r="AA313"/>
      <c r="AB313"/>
      <c r="AC313"/>
      <c r="AD313"/>
      <c r="AE313"/>
      <c r="AF313"/>
      <c r="AG313"/>
      <c r="AH313"/>
      <c r="AI313"/>
    </row>
    <row r="314" spans="1:35" s="33" customFormat="1" ht="15.75">
      <c r="A314" s="175"/>
      <c r="B314" s="163"/>
      <c r="C314" s="123"/>
      <c r="D314" s="123"/>
      <c r="E314" s="32"/>
      <c r="F314"/>
      <c r="G314"/>
      <c r="H314"/>
      <c r="I314"/>
      <c r="J314"/>
      <c r="K314"/>
      <c r="L314"/>
      <c r="M314"/>
      <c r="N314"/>
      <c r="O314"/>
      <c r="P314"/>
      <c r="Q314"/>
      <c r="R314"/>
      <c r="S314"/>
      <c r="T314"/>
      <c r="U314"/>
      <c r="V314"/>
      <c r="W314"/>
      <c r="X314"/>
      <c r="Y314"/>
      <c r="Z314"/>
      <c r="AA314"/>
      <c r="AB314"/>
      <c r="AC314"/>
      <c r="AD314"/>
      <c r="AE314"/>
      <c r="AF314"/>
      <c r="AG314"/>
      <c r="AH314"/>
      <c r="AI314"/>
    </row>
    <row r="315" spans="1:35" s="33" customFormat="1" ht="15.75">
      <c r="A315" s="175"/>
      <c r="B315" s="163"/>
      <c r="C315" s="123"/>
      <c r="D315" s="123"/>
      <c r="E315" s="32"/>
      <c r="F315"/>
      <c r="G315"/>
      <c r="H315"/>
      <c r="I315"/>
      <c r="J315"/>
      <c r="K315"/>
      <c r="L315"/>
      <c r="M315"/>
      <c r="N315"/>
      <c r="O315"/>
      <c r="P315"/>
      <c r="Q315"/>
      <c r="R315"/>
      <c r="S315"/>
      <c r="T315"/>
      <c r="U315"/>
      <c r="V315"/>
      <c r="W315"/>
      <c r="X315"/>
      <c r="Y315"/>
      <c r="Z315"/>
      <c r="AA315"/>
      <c r="AB315"/>
      <c r="AC315"/>
      <c r="AD315"/>
      <c r="AE315"/>
      <c r="AF315"/>
      <c r="AG315"/>
      <c r="AH315"/>
      <c r="AI315"/>
    </row>
    <row r="316" spans="1:35" s="33" customFormat="1" ht="15.75">
      <c r="A316" s="175"/>
      <c r="B316" s="163"/>
      <c r="C316" s="123"/>
      <c r="D316" s="123"/>
      <c r="E316" s="32"/>
      <c r="F316"/>
      <c r="G316"/>
      <c r="H316"/>
      <c r="I316"/>
      <c r="J316"/>
      <c r="K316"/>
      <c r="L316"/>
      <c r="M316"/>
      <c r="N316"/>
      <c r="O316"/>
      <c r="P316"/>
      <c r="Q316"/>
      <c r="R316"/>
      <c r="S316"/>
      <c r="T316"/>
      <c r="U316"/>
      <c r="V316"/>
      <c r="W316"/>
      <c r="X316"/>
      <c r="Y316"/>
      <c r="Z316"/>
      <c r="AA316"/>
      <c r="AB316"/>
      <c r="AC316"/>
      <c r="AD316"/>
      <c r="AE316"/>
      <c r="AF316"/>
      <c r="AG316"/>
      <c r="AH316"/>
      <c r="AI316"/>
    </row>
    <row r="317" spans="1:35" s="33" customFormat="1" ht="15.75">
      <c r="A317" s="175"/>
      <c r="B317" s="163"/>
      <c r="C317" s="123"/>
      <c r="D317" s="123"/>
      <c r="E317" s="32"/>
      <c r="F317"/>
      <c r="G317"/>
      <c r="H317"/>
      <c r="I317"/>
      <c r="J317"/>
      <c r="K317"/>
      <c r="L317"/>
      <c r="M317"/>
      <c r="N317"/>
      <c r="O317"/>
      <c r="P317"/>
      <c r="Q317"/>
      <c r="R317"/>
      <c r="S317"/>
      <c r="T317"/>
      <c r="U317"/>
      <c r="V317"/>
      <c r="W317"/>
      <c r="X317"/>
      <c r="Y317"/>
      <c r="Z317"/>
      <c r="AA317"/>
      <c r="AB317"/>
      <c r="AC317"/>
      <c r="AD317"/>
      <c r="AE317"/>
      <c r="AF317"/>
      <c r="AG317"/>
      <c r="AH317"/>
      <c r="AI317"/>
    </row>
    <row r="318" spans="1:35" s="33" customFormat="1" ht="15.75">
      <c r="A318" s="175"/>
      <c r="B318" s="163"/>
      <c r="C318" s="123"/>
      <c r="D318" s="123"/>
      <c r="E318" s="32"/>
      <c r="F318"/>
      <c r="G318"/>
      <c r="H318"/>
      <c r="I318"/>
      <c r="J318"/>
      <c r="K318"/>
      <c r="L318"/>
      <c r="M318"/>
      <c r="N318"/>
      <c r="O318"/>
      <c r="P318"/>
      <c r="Q318"/>
      <c r="R318"/>
      <c r="S318"/>
      <c r="T318"/>
      <c r="U318"/>
      <c r="V318"/>
      <c r="W318"/>
      <c r="X318"/>
      <c r="Y318"/>
      <c r="Z318"/>
      <c r="AA318"/>
      <c r="AB318"/>
      <c r="AC318"/>
      <c r="AD318"/>
      <c r="AE318"/>
      <c r="AF318"/>
      <c r="AG318"/>
      <c r="AH318"/>
      <c r="AI318"/>
    </row>
    <row r="319" spans="1:35" s="33" customFormat="1" ht="15.75">
      <c r="A319" s="175"/>
      <c r="B319" s="163"/>
      <c r="C319" s="123"/>
      <c r="D319" s="123"/>
      <c r="E319" s="32"/>
      <c r="F319"/>
      <c r="G319"/>
      <c r="H319"/>
      <c r="I319"/>
      <c r="J319"/>
      <c r="K319"/>
      <c r="L319"/>
      <c r="M319"/>
      <c r="N319"/>
      <c r="O319"/>
      <c r="P319"/>
      <c r="Q319"/>
      <c r="R319"/>
      <c r="S319"/>
      <c r="T319"/>
      <c r="U319"/>
      <c r="V319"/>
      <c r="W319"/>
      <c r="X319"/>
      <c r="Y319"/>
      <c r="Z319"/>
      <c r="AA319"/>
      <c r="AB319"/>
      <c r="AC319"/>
      <c r="AD319"/>
      <c r="AE319"/>
      <c r="AF319"/>
      <c r="AG319"/>
      <c r="AH319"/>
      <c r="AI319"/>
    </row>
    <row r="320" spans="1:35" s="33" customFormat="1" ht="15.75">
      <c r="A320" s="175"/>
      <c r="B320" s="163"/>
      <c r="C320" s="123"/>
      <c r="D320" s="123"/>
      <c r="E320" s="32"/>
      <c r="F320"/>
      <c r="G320"/>
      <c r="H320"/>
      <c r="I320"/>
      <c r="J320"/>
      <c r="K320"/>
      <c r="L320"/>
      <c r="M320"/>
      <c r="N320"/>
      <c r="O320"/>
      <c r="P320"/>
      <c r="Q320"/>
      <c r="R320"/>
      <c r="S320"/>
      <c r="T320"/>
      <c r="U320"/>
      <c r="V320"/>
      <c r="W320"/>
      <c r="X320"/>
      <c r="Y320"/>
      <c r="Z320"/>
      <c r="AA320"/>
      <c r="AB320"/>
      <c r="AC320"/>
      <c r="AD320"/>
      <c r="AE320"/>
      <c r="AF320"/>
      <c r="AG320"/>
      <c r="AH320"/>
      <c r="AI320"/>
    </row>
    <row r="321" spans="1:35" s="33" customFormat="1" ht="15.75">
      <c r="A321" s="175"/>
      <c r="B321" s="163"/>
      <c r="C321" s="123"/>
      <c r="D321" s="123"/>
      <c r="E321" s="32"/>
      <c r="F321"/>
      <c r="G321"/>
      <c r="H321"/>
      <c r="I321"/>
      <c r="J321"/>
      <c r="K321"/>
      <c r="L321"/>
      <c r="M321"/>
      <c r="N321"/>
      <c r="O321"/>
      <c r="P321"/>
      <c r="Q321"/>
      <c r="R321"/>
      <c r="S321"/>
      <c r="T321"/>
      <c r="U321"/>
      <c r="V321"/>
      <c r="W321"/>
      <c r="X321"/>
      <c r="Y321"/>
      <c r="Z321"/>
      <c r="AA321"/>
      <c r="AB321"/>
      <c r="AC321"/>
      <c r="AD321"/>
      <c r="AE321"/>
      <c r="AF321"/>
      <c r="AG321"/>
      <c r="AH321"/>
      <c r="AI321"/>
    </row>
    <row r="322" spans="1:35" s="33" customFormat="1" ht="15.75">
      <c r="A322" s="175"/>
      <c r="B322" s="163"/>
      <c r="C322" s="123"/>
      <c r="D322" s="123"/>
      <c r="E322" s="32"/>
      <c r="F322"/>
      <c r="G322"/>
      <c r="H322"/>
      <c r="I322"/>
      <c r="J322"/>
      <c r="K322"/>
      <c r="L322"/>
      <c r="M322"/>
      <c r="N322"/>
      <c r="O322"/>
      <c r="P322"/>
      <c r="Q322"/>
      <c r="R322"/>
      <c r="S322"/>
      <c r="T322"/>
      <c r="U322"/>
      <c r="V322"/>
      <c r="W322"/>
      <c r="X322"/>
      <c r="Y322"/>
      <c r="Z322"/>
      <c r="AA322"/>
      <c r="AB322"/>
      <c r="AC322"/>
      <c r="AD322"/>
      <c r="AE322"/>
      <c r="AF322"/>
      <c r="AG322"/>
      <c r="AH322"/>
      <c r="AI322"/>
    </row>
    <row r="323" spans="1:35" s="33" customFormat="1" ht="15.75">
      <c r="A323" s="175"/>
      <c r="B323" s="163"/>
      <c r="C323" s="123"/>
      <c r="D323" s="123"/>
      <c r="E323" s="32"/>
      <c r="F323"/>
      <c r="G323"/>
      <c r="H323"/>
      <c r="I323"/>
      <c r="J323"/>
      <c r="K323"/>
      <c r="L323"/>
      <c r="M323"/>
      <c r="N323"/>
      <c r="O323"/>
      <c r="P323"/>
      <c r="Q323"/>
      <c r="R323"/>
      <c r="S323"/>
      <c r="T323"/>
      <c r="U323"/>
      <c r="V323"/>
      <c r="W323"/>
      <c r="X323"/>
      <c r="Y323"/>
      <c r="Z323"/>
      <c r="AA323"/>
      <c r="AB323"/>
      <c r="AC323"/>
      <c r="AD323"/>
      <c r="AE323"/>
      <c r="AF323"/>
      <c r="AG323"/>
      <c r="AH323"/>
      <c r="AI323"/>
    </row>
    <row r="324" spans="1:35" s="33" customFormat="1" ht="15.75">
      <c r="A324" s="175"/>
      <c r="B324" s="163"/>
      <c r="C324" s="123"/>
      <c r="D324" s="123"/>
      <c r="E324" s="32"/>
      <c r="F324"/>
      <c r="G324"/>
      <c r="H324"/>
      <c r="I324"/>
      <c r="J324"/>
      <c r="K324"/>
      <c r="L324"/>
      <c r="M324"/>
      <c r="N324"/>
      <c r="O324"/>
      <c r="P324"/>
      <c r="Q324"/>
      <c r="R324"/>
      <c r="S324"/>
      <c r="T324"/>
      <c r="U324"/>
      <c r="V324"/>
      <c r="W324"/>
      <c r="X324"/>
      <c r="Y324"/>
      <c r="Z324"/>
      <c r="AA324"/>
      <c r="AB324"/>
      <c r="AC324"/>
      <c r="AD324"/>
      <c r="AE324"/>
      <c r="AF324"/>
      <c r="AG324"/>
      <c r="AH324"/>
      <c r="AI324"/>
    </row>
    <row r="325" spans="1:35" s="33" customFormat="1" ht="15.75">
      <c r="A325" s="175"/>
      <c r="B325" s="163"/>
      <c r="C325" s="123"/>
      <c r="D325" s="123"/>
      <c r="E325" s="32"/>
      <c r="F325"/>
      <c r="G325"/>
      <c r="H325"/>
      <c r="I325"/>
      <c r="J325"/>
      <c r="K325"/>
      <c r="L325"/>
      <c r="M325"/>
      <c r="N325"/>
      <c r="O325"/>
      <c r="P325"/>
      <c r="Q325"/>
      <c r="R325"/>
      <c r="S325"/>
      <c r="T325"/>
      <c r="U325"/>
      <c r="V325"/>
      <c r="W325"/>
      <c r="X325"/>
      <c r="Y325"/>
      <c r="Z325"/>
      <c r="AA325"/>
      <c r="AB325"/>
      <c r="AC325"/>
      <c r="AD325"/>
      <c r="AE325"/>
      <c r="AF325"/>
      <c r="AG325"/>
      <c r="AH325"/>
      <c r="AI325"/>
    </row>
    <row r="326" spans="1:35" s="33" customFormat="1" ht="15.75">
      <c r="A326" s="175"/>
      <c r="B326" s="163"/>
      <c r="C326" s="123"/>
      <c r="D326" s="123"/>
      <c r="E326" s="32"/>
      <c r="F326"/>
      <c r="G326"/>
      <c r="H326"/>
      <c r="I326"/>
      <c r="J326"/>
      <c r="K326"/>
      <c r="L326"/>
      <c r="M326"/>
      <c r="N326"/>
      <c r="O326"/>
      <c r="P326"/>
      <c r="Q326"/>
      <c r="R326"/>
      <c r="S326"/>
      <c r="T326"/>
      <c r="U326"/>
      <c r="V326"/>
      <c r="W326"/>
      <c r="X326"/>
      <c r="Y326"/>
      <c r="Z326"/>
      <c r="AA326"/>
      <c r="AB326"/>
      <c r="AC326"/>
      <c r="AD326"/>
      <c r="AE326"/>
      <c r="AF326"/>
      <c r="AG326"/>
      <c r="AH326"/>
      <c r="AI326"/>
    </row>
    <row r="327" spans="1:35" s="33" customFormat="1" ht="15.75">
      <c r="A327" s="175"/>
      <c r="B327" s="163"/>
      <c r="C327" s="123"/>
      <c r="D327" s="123"/>
      <c r="E327" s="32"/>
      <c r="F327"/>
      <c r="G327"/>
      <c r="H327"/>
      <c r="I327"/>
      <c r="J327"/>
      <c r="K327"/>
      <c r="L327"/>
      <c r="M327"/>
      <c r="N327"/>
      <c r="O327"/>
      <c r="P327"/>
      <c r="Q327"/>
      <c r="R327"/>
      <c r="S327"/>
      <c r="T327"/>
      <c r="U327"/>
      <c r="V327"/>
      <c r="W327"/>
      <c r="X327"/>
      <c r="Y327"/>
      <c r="Z327"/>
      <c r="AA327"/>
      <c r="AB327"/>
      <c r="AC327"/>
      <c r="AD327"/>
      <c r="AE327"/>
      <c r="AF327"/>
      <c r="AG327"/>
      <c r="AH327"/>
      <c r="AI327"/>
    </row>
    <row r="328" spans="1:35" s="33" customFormat="1" ht="15.75">
      <c r="A328" s="175"/>
      <c r="B328" s="163"/>
      <c r="C328" s="123"/>
      <c r="D328" s="123"/>
      <c r="E328" s="32"/>
      <c r="F328"/>
      <c r="G328"/>
      <c r="H328"/>
      <c r="I328"/>
      <c r="J328"/>
      <c r="K328"/>
      <c r="L328"/>
      <c r="M328"/>
      <c r="N328"/>
      <c r="O328"/>
      <c r="P328"/>
      <c r="Q328"/>
      <c r="R328"/>
      <c r="S328"/>
      <c r="T328"/>
      <c r="U328"/>
      <c r="V328"/>
      <c r="W328"/>
      <c r="X328"/>
      <c r="Y328"/>
      <c r="Z328"/>
      <c r="AA328"/>
      <c r="AB328"/>
      <c r="AC328"/>
      <c r="AD328"/>
      <c r="AE328"/>
      <c r="AF328"/>
      <c r="AG328"/>
      <c r="AH328"/>
      <c r="AI328"/>
    </row>
    <row r="329" spans="1:35" s="33" customFormat="1" ht="15.75">
      <c r="A329" s="175"/>
      <c r="B329" s="163"/>
      <c r="C329" s="123"/>
      <c r="D329" s="123"/>
      <c r="E329" s="32"/>
      <c r="F329"/>
      <c r="G329"/>
      <c r="H329"/>
      <c r="I329"/>
      <c r="J329"/>
      <c r="K329"/>
      <c r="L329"/>
      <c r="M329"/>
      <c r="N329"/>
      <c r="O329"/>
      <c r="P329"/>
      <c r="Q329"/>
      <c r="R329"/>
      <c r="S329"/>
      <c r="T329"/>
      <c r="U329"/>
      <c r="V329"/>
      <c r="W329"/>
      <c r="X329"/>
      <c r="Y329"/>
      <c r="Z329"/>
      <c r="AA329"/>
      <c r="AB329"/>
      <c r="AC329"/>
      <c r="AD329"/>
      <c r="AE329"/>
      <c r="AF329"/>
      <c r="AG329"/>
      <c r="AH329"/>
      <c r="AI329"/>
    </row>
    <row r="330" spans="1:35" s="33" customFormat="1" ht="15.75">
      <c r="A330" s="175"/>
      <c r="B330" s="163"/>
      <c r="C330" s="123"/>
      <c r="D330" s="123"/>
      <c r="E330" s="32"/>
      <c r="F330"/>
      <c r="G330"/>
      <c r="H330"/>
      <c r="I330"/>
      <c r="J330"/>
      <c r="K330"/>
      <c r="L330"/>
      <c r="M330"/>
      <c r="N330"/>
      <c r="O330"/>
      <c r="P330"/>
      <c r="Q330"/>
      <c r="R330"/>
      <c r="S330"/>
      <c r="T330"/>
      <c r="U330"/>
      <c r="V330"/>
      <c r="W330"/>
      <c r="X330"/>
      <c r="Y330"/>
      <c r="Z330"/>
      <c r="AA330"/>
      <c r="AB330"/>
      <c r="AC330"/>
      <c r="AD330"/>
      <c r="AE330"/>
      <c r="AF330"/>
      <c r="AG330"/>
      <c r="AH330"/>
      <c r="AI330"/>
    </row>
    <row r="331" spans="1:35" s="33" customFormat="1" ht="15.75">
      <c r="A331" s="175"/>
      <c r="B331" s="163"/>
      <c r="C331" s="123"/>
      <c r="D331" s="123"/>
      <c r="E331" s="32"/>
      <c r="F331"/>
      <c r="G331"/>
      <c r="H331"/>
      <c r="I331"/>
      <c r="J331"/>
      <c r="K331"/>
      <c r="L331"/>
      <c r="M331"/>
      <c r="N331"/>
      <c r="O331"/>
      <c r="P331"/>
      <c r="Q331"/>
      <c r="R331"/>
      <c r="S331"/>
      <c r="T331"/>
      <c r="U331"/>
      <c r="V331"/>
      <c r="W331"/>
      <c r="X331"/>
      <c r="Y331"/>
      <c r="Z331"/>
      <c r="AA331"/>
      <c r="AB331"/>
      <c r="AC331"/>
      <c r="AD331"/>
      <c r="AE331"/>
      <c r="AF331"/>
      <c r="AG331"/>
      <c r="AH331"/>
      <c r="AI331"/>
    </row>
    <row r="332" spans="1:35" s="33" customFormat="1" ht="15.75">
      <c r="A332" s="175"/>
      <c r="B332" s="163"/>
      <c r="C332" s="123"/>
      <c r="D332" s="123"/>
      <c r="E332" s="32"/>
      <c r="F332"/>
      <c r="G332"/>
      <c r="H332"/>
      <c r="I332"/>
      <c r="J332"/>
      <c r="K332"/>
      <c r="L332"/>
      <c r="M332"/>
      <c r="N332"/>
      <c r="O332"/>
      <c r="P332"/>
      <c r="Q332"/>
      <c r="R332"/>
      <c r="S332"/>
      <c r="T332"/>
      <c r="U332"/>
      <c r="V332"/>
      <c r="W332"/>
      <c r="X332"/>
      <c r="Y332"/>
      <c r="Z332"/>
      <c r="AA332"/>
      <c r="AB332"/>
      <c r="AC332"/>
      <c r="AD332"/>
      <c r="AE332"/>
      <c r="AF332"/>
      <c r="AG332"/>
      <c r="AH332"/>
      <c r="AI332"/>
    </row>
    <row r="333" spans="1:35" s="33" customFormat="1" ht="15.75">
      <c r="A333" s="175"/>
      <c r="B333" s="163"/>
      <c r="C333" s="123"/>
      <c r="D333" s="123"/>
      <c r="E333" s="32"/>
      <c r="F333"/>
      <c r="G333"/>
      <c r="H333"/>
      <c r="I333"/>
      <c r="J333"/>
      <c r="K333"/>
      <c r="L333"/>
      <c r="M333"/>
      <c r="N333"/>
      <c r="O333"/>
      <c r="P333"/>
      <c r="Q333"/>
      <c r="R333"/>
      <c r="S333"/>
      <c r="T333"/>
      <c r="U333"/>
      <c r="V333"/>
      <c r="W333"/>
      <c r="X333"/>
      <c r="Y333"/>
      <c r="Z333"/>
      <c r="AA333"/>
      <c r="AB333"/>
      <c r="AC333"/>
      <c r="AD333"/>
      <c r="AE333"/>
      <c r="AF333"/>
      <c r="AG333"/>
      <c r="AH333"/>
      <c r="AI333"/>
    </row>
    <row r="334" spans="1:35" s="33" customFormat="1" ht="15.75">
      <c r="A334" s="175"/>
      <c r="B334" s="163"/>
      <c r="C334" s="123"/>
      <c r="D334" s="123"/>
      <c r="E334" s="32"/>
      <c r="F334"/>
      <c r="G334"/>
      <c r="H334"/>
      <c r="I334"/>
      <c r="J334"/>
      <c r="K334"/>
      <c r="L334"/>
      <c r="M334"/>
      <c r="N334"/>
      <c r="O334"/>
      <c r="P334"/>
      <c r="Q334"/>
      <c r="R334"/>
      <c r="S334"/>
      <c r="T334"/>
      <c r="U334"/>
      <c r="V334"/>
      <c r="W334"/>
      <c r="X334"/>
      <c r="Y334"/>
      <c r="Z334"/>
      <c r="AA334"/>
      <c r="AB334"/>
      <c r="AC334"/>
      <c r="AD334"/>
      <c r="AE334"/>
      <c r="AF334"/>
      <c r="AG334"/>
      <c r="AH334"/>
      <c r="AI334"/>
    </row>
    <row r="335" spans="1:35" s="33" customFormat="1" ht="15.75">
      <c r="A335" s="175"/>
      <c r="B335" s="163"/>
      <c r="C335" s="123"/>
      <c r="D335" s="123"/>
      <c r="E335" s="32"/>
      <c r="F335"/>
      <c r="G335"/>
      <c r="H335"/>
      <c r="I335"/>
      <c r="J335"/>
      <c r="K335"/>
      <c r="L335"/>
      <c r="M335"/>
      <c r="N335"/>
      <c r="O335"/>
      <c r="P335"/>
      <c r="Q335"/>
      <c r="R335"/>
      <c r="S335"/>
      <c r="T335"/>
      <c r="U335"/>
      <c r="V335"/>
      <c r="W335"/>
      <c r="X335"/>
      <c r="Y335"/>
      <c r="Z335"/>
      <c r="AA335"/>
      <c r="AB335"/>
      <c r="AC335"/>
      <c r="AD335"/>
      <c r="AE335"/>
      <c r="AF335"/>
      <c r="AG335"/>
      <c r="AH335"/>
      <c r="AI335"/>
    </row>
    <row r="336" spans="1:35" s="33" customFormat="1" ht="15.75">
      <c r="A336" s="175"/>
      <c r="B336" s="163"/>
      <c r="C336" s="123"/>
      <c r="D336" s="123"/>
      <c r="E336" s="32"/>
      <c r="F336"/>
      <c r="G336"/>
      <c r="H336"/>
      <c r="I336"/>
      <c r="J336"/>
      <c r="K336"/>
      <c r="L336"/>
      <c r="M336"/>
      <c r="N336"/>
      <c r="O336"/>
      <c r="P336"/>
      <c r="Q336"/>
      <c r="R336"/>
      <c r="S336"/>
      <c r="T336"/>
      <c r="U336"/>
      <c r="V336"/>
      <c r="W336"/>
      <c r="X336"/>
      <c r="Y336"/>
      <c r="Z336"/>
      <c r="AA336"/>
      <c r="AB336"/>
      <c r="AC336"/>
      <c r="AD336"/>
      <c r="AE336"/>
      <c r="AF336"/>
      <c r="AG336"/>
      <c r="AH336"/>
      <c r="AI336"/>
    </row>
    <row r="337" spans="1:35" s="33" customFormat="1" ht="15.75">
      <c r="A337" s="175"/>
      <c r="B337" s="163"/>
      <c r="C337" s="123"/>
      <c r="D337" s="123"/>
      <c r="E337" s="32"/>
      <c r="F337"/>
      <c r="G337"/>
      <c r="H337"/>
      <c r="I337"/>
      <c r="J337"/>
      <c r="K337"/>
      <c r="L337"/>
      <c r="M337"/>
      <c r="N337"/>
      <c r="O337"/>
      <c r="P337"/>
      <c r="Q337"/>
      <c r="R337"/>
      <c r="S337"/>
      <c r="T337"/>
      <c r="U337"/>
      <c r="V337"/>
      <c r="W337"/>
      <c r="X337"/>
      <c r="Y337"/>
      <c r="Z337"/>
      <c r="AA337"/>
      <c r="AB337"/>
      <c r="AC337"/>
      <c r="AD337"/>
      <c r="AE337"/>
      <c r="AF337"/>
      <c r="AG337"/>
      <c r="AH337"/>
      <c r="AI337"/>
    </row>
    <row r="338" spans="1:35" s="33" customFormat="1" ht="15.75">
      <c r="A338" s="175"/>
      <c r="B338" s="163"/>
      <c r="C338" s="123"/>
      <c r="D338" s="123"/>
      <c r="E338" s="32"/>
      <c r="F338"/>
      <c r="G338"/>
      <c r="H338"/>
      <c r="I338"/>
      <c r="J338"/>
      <c r="K338"/>
      <c r="L338"/>
      <c r="M338"/>
      <c r="N338"/>
      <c r="O338"/>
      <c r="P338"/>
      <c r="Q338"/>
      <c r="R338"/>
      <c r="S338"/>
      <c r="T338"/>
      <c r="U338"/>
      <c r="V338"/>
      <c r="W338"/>
      <c r="X338"/>
      <c r="Y338"/>
      <c r="Z338"/>
      <c r="AA338"/>
      <c r="AB338"/>
      <c r="AC338"/>
      <c r="AD338"/>
      <c r="AE338"/>
      <c r="AF338"/>
      <c r="AG338"/>
      <c r="AH338"/>
      <c r="AI338"/>
    </row>
    <row r="339" spans="1:35" s="33" customFormat="1" ht="15.75">
      <c r="A339" s="175"/>
      <c r="B339" s="163"/>
      <c r="C339" s="123"/>
      <c r="D339" s="123"/>
      <c r="E339" s="32"/>
      <c r="F339"/>
      <c r="G339"/>
      <c r="H339"/>
      <c r="I339"/>
      <c r="J339"/>
      <c r="K339"/>
      <c r="L339"/>
      <c r="M339"/>
      <c r="N339"/>
      <c r="O339"/>
      <c r="P339"/>
      <c r="Q339"/>
      <c r="R339"/>
      <c r="S339"/>
      <c r="T339"/>
      <c r="U339"/>
      <c r="V339"/>
      <c r="W339"/>
      <c r="X339"/>
      <c r="Y339"/>
      <c r="Z339"/>
      <c r="AA339"/>
      <c r="AB339"/>
      <c r="AC339"/>
      <c r="AD339"/>
      <c r="AE339"/>
      <c r="AF339"/>
      <c r="AG339"/>
      <c r="AH339"/>
      <c r="AI339"/>
    </row>
    <row r="340" spans="1:35" s="33" customFormat="1" ht="15.75">
      <c r="A340" s="175"/>
      <c r="B340" s="163"/>
      <c r="C340" s="123"/>
      <c r="D340" s="123"/>
      <c r="E340" s="32"/>
      <c r="F340"/>
      <c r="G340"/>
      <c r="H340"/>
      <c r="I340"/>
      <c r="J340"/>
      <c r="K340"/>
      <c r="L340"/>
      <c r="M340"/>
      <c r="N340"/>
      <c r="O340"/>
      <c r="P340"/>
      <c r="Q340"/>
      <c r="R340"/>
      <c r="S340"/>
      <c r="T340"/>
      <c r="U340"/>
      <c r="V340"/>
      <c r="W340"/>
      <c r="X340"/>
      <c r="Y340"/>
      <c r="Z340"/>
      <c r="AA340"/>
      <c r="AB340"/>
      <c r="AC340"/>
      <c r="AD340"/>
      <c r="AE340"/>
      <c r="AF340"/>
      <c r="AG340"/>
      <c r="AH340"/>
      <c r="AI340"/>
    </row>
    <row r="341" spans="1:35" s="33" customFormat="1" ht="15.75">
      <c r="A341" s="175"/>
      <c r="B341" s="163"/>
      <c r="C341" s="123"/>
      <c r="D341" s="123"/>
      <c r="E341" s="32"/>
      <c r="F341"/>
      <c r="G341"/>
      <c r="H341"/>
      <c r="I341"/>
      <c r="J341"/>
      <c r="K341"/>
      <c r="L341"/>
      <c r="M341"/>
      <c r="N341"/>
      <c r="O341"/>
      <c r="P341"/>
      <c r="Q341"/>
      <c r="R341"/>
      <c r="S341"/>
      <c r="T341"/>
      <c r="U341"/>
      <c r="V341"/>
      <c r="W341"/>
      <c r="X341"/>
      <c r="Y341"/>
      <c r="Z341"/>
      <c r="AA341"/>
      <c r="AB341"/>
      <c r="AC341"/>
      <c r="AD341"/>
      <c r="AE341"/>
      <c r="AF341"/>
      <c r="AG341"/>
      <c r="AH341"/>
      <c r="AI341"/>
    </row>
    <row r="342" spans="1:35" s="33" customFormat="1" ht="15.75">
      <c r="A342" s="175"/>
      <c r="B342" s="163"/>
      <c r="C342" s="123"/>
      <c r="D342" s="123"/>
      <c r="E342" s="32"/>
      <c r="F342"/>
      <c r="G342"/>
      <c r="H342"/>
      <c r="I342"/>
      <c r="J342"/>
      <c r="K342"/>
      <c r="L342"/>
      <c r="M342"/>
      <c r="N342"/>
      <c r="O342"/>
      <c r="P342"/>
      <c r="Q342"/>
      <c r="R342"/>
      <c r="S342"/>
      <c r="T342"/>
      <c r="U342"/>
      <c r="V342"/>
      <c r="W342"/>
      <c r="X342"/>
      <c r="Y342"/>
      <c r="Z342"/>
      <c r="AA342"/>
      <c r="AB342"/>
      <c r="AC342"/>
      <c r="AD342"/>
      <c r="AE342"/>
      <c r="AF342"/>
      <c r="AG342"/>
      <c r="AH342"/>
      <c r="AI342"/>
    </row>
    <row r="343" spans="1:35" s="33" customFormat="1" ht="15.75">
      <c r="A343" s="175"/>
      <c r="B343" s="163"/>
      <c r="C343" s="123"/>
      <c r="D343" s="123"/>
      <c r="E343" s="32"/>
      <c r="F343"/>
      <c r="G343"/>
      <c r="H343"/>
      <c r="I343"/>
      <c r="J343"/>
      <c r="K343"/>
      <c r="L343"/>
      <c r="M343"/>
      <c r="N343"/>
      <c r="O343"/>
      <c r="P343"/>
      <c r="Q343"/>
      <c r="R343"/>
      <c r="S343"/>
      <c r="T343"/>
      <c r="U343"/>
      <c r="V343"/>
      <c r="W343"/>
      <c r="X343"/>
      <c r="Y343"/>
      <c r="Z343"/>
      <c r="AA343"/>
      <c r="AB343"/>
      <c r="AC343"/>
      <c r="AD343"/>
      <c r="AE343"/>
      <c r="AF343"/>
      <c r="AG343"/>
      <c r="AH343"/>
      <c r="AI343"/>
    </row>
    <row r="344" spans="1:35" s="33" customFormat="1" ht="15.75">
      <c r="A344" s="175"/>
      <c r="B344" s="163"/>
      <c r="C344" s="123"/>
      <c r="D344" s="123"/>
      <c r="E344" s="32"/>
      <c r="F344"/>
      <c r="G344"/>
      <c r="H344"/>
      <c r="I344"/>
      <c r="J344"/>
      <c r="K344"/>
      <c r="L344"/>
      <c r="M344"/>
      <c r="N344"/>
      <c r="O344"/>
      <c r="P344"/>
      <c r="Q344"/>
      <c r="R344"/>
      <c r="S344"/>
      <c r="T344"/>
      <c r="U344"/>
      <c r="V344"/>
      <c r="W344"/>
      <c r="X344"/>
      <c r="Y344"/>
      <c r="Z344"/>
      <c r="AA344"/>
      <c r="AB344"/>
      <c r="AC344"/>
      <c r="AD344"/>
      <c r="AE344"/>
      <c r="AF344"/>
      <c r="AG344"/>
      <c r="AH344"/>
      <c r="AI344"/>
    </row>
    <row r="345" spans="1:35" s="33" customFormat="1" ht="15.75">
      <c r="A345" s="175"/>
      <c r="B345" s="163"/>
      <c r="C345" s="123"/>
      <c r="D345" s="123"/>
      <c r="E345" s="32"/>
      <c r="F345"/>
      <c r="G345"/>
      <c r="H345"/>
      <c r="I345"/>
      <c r="J345"/>
      <c r="K345"/>
      <c r="L345"/>
      <c r="M345"/>
      <c r="N345"/>
      <c r="O345"/>
      <c r="P345"/>
      <c r="Q345"/>
      <c r="R345"/>
      <c r="S345"/>
      <c r="T345"/>
      <c r="U345"/>
      <c r="V345"/>
      <c r="W345"/>
      <c r="X345"/>
      <c r="Y345"/>
      <c r="Z345"/>
      <c r="AA345"/>
      <c r="AB345"/>
      <c r="AC345"/>
      <c r="AD345"/>
      <c r="AE345"/>
      <c r="AF345"/>
      <c r="AG345"/>
      <c r="AH345"/>
      <c r="AI345"/>
    </row>
    <row r="346" spans="1:35" s="33" customFormat="1" ht="15.75">
      <c r="A346" s="175"/>
      <c r="B346" s="163"/>
      <c r="C346" s="123"/>
      <c r="D346" s="123"/>
      <c r="E346" s="32"/>
      <c r="F346"/>
      <c r="G346"/>
      <c r="H346"/>
      <c r="I346"/>
      <c r="J346"/>
      <c r="K346"/>
      <c r="L346"/>
      <c r="M346"/>
      <c r="N346"/>
      <c r="O346"/>
      <c r="P346"/>
      <c r="Q346"/>
      <c r="R346"/>
      <c r="S346"/>
      <c r="T346"/>
      <c r="U346"/>
      <c r="V346"/>
      <c r="W346"/>
      <c r="X346"/>
      <c r="Y346"/>
      <c r="Z346"/>
      <c r="AA346"/>
      <c r="AB346"/>
      <c r="AC346"/>
      <c r="AD346"/>
      <c r="AE346"/>
      <c r="AF346"/>
      <c r="AG346"/>
      <c r="AH346"/>
      <c r="AI346"/>
    </row>
    <row r="347" spans="1:35" s="33" customFormat="1" ht="15.75">
      <c r="A347" s="175"/>
      <c r="B347" s="163"/>
      <c r="C347" s="123"/>
      <c r="D347" s="123"/>
      <c r="E347" s="32"/>
      <c r="F347"/>
      <c r="G347"/>
      <c r="H347"/>
      <c r="I347"/>
      <c r="J347"/>
      <c r="K347"/>
      <c r="L347"/>
      <c r="M347"/>
      <c r="N347"/>
      <c r="O347"/>
      <c r="P347"/>
      <c r="Q347"/>
      <c r="R347"/>
      <c r="S347"/>
      <c r="T347"/>
      <c r="U347"/>
      <c r="V347"/>
      <c r="W347"/>
      <c r="X347"/>
      <c r="Y347"/>
      <c r="Z347"/>
      <c r="AA347"/>
      <c r="AB347"/>
      <c r="AC347"/>
      <c r="AD347"/>
      <c r="AE347"/>
      <c r="AF347"/>
      <c r="AG347"/>
      <c r="AH347"/>
      <c r="AI347"/>
    </row>
    <row r="348" spans="1:35" s="33" customFormat="1" ht="15.75">
      <c r="A348" s="175"/>
      <c r="B348" s="163"/>
      <c r="C348" s="123"/>
      <c r="D348" s="123"/>
      <c r="E348" s="32"/>
      <c r="F348"/>
      <c r="G348"/>
      <c r="H348"/>
      <c r="I348"/>
      <c r="J348"/>
      <c r="K348"/>
      <c r="L348"/>
      <c r="M348"/>
      <c r="N348"/>
      <c r="O348"/>
      <c r="P348"/>
      <c r="Q348"/>
      <c r="R348"/>
      <c r="S348"/>
      <c r="T348"/>
      <c r="U348"/>
      <c r="V348"/>
      <c r="W348"/>
      <c r="X348"/>
      <c r="Y348"/>
      <c r="Z348"/>
      <c r="AA348"/>
      <c r="AB348"/>
      <c r="AC348"/>
      <c r="AD348"/>
      <c r="AE348"/>
      <c r="AF348"/>
      <c r="AG348"/>
      <c r="AH348"/>
      <c r="AI348"/>
    </row>
    <row r="349" spans="1:35" s="33" customFormat="1" ht="15.75">
      <c r="A349" s="175"/>
      <c r="B349" s="163"/>
      <c r="C349" s="123"/>
      <c r="D349" s="123"/>
      <c r="E349" s="32"/>
      <c r="F349"/>
      <c r="G349"/>
      <c r="H349"/>
      <c r="I349"/>
      <c r="J349"/>
      <c r="K349"/>
      <c r="L349"/>
      <c r="M349"/>
      <c r="N349"/>
      <c r="O349"/>
      <c r="P349"/>
      <c r="Q349"/>
      <c r="R349"/>
      <c r="S349"/>
      <c r="T349"/>
      <c r="U349"/>
      <c r="V349"/>
      <c r="W349"/>
      <c r="X349"/>
      <c r="Y349"/>
      <c r="Z349"/>
      <c r="AA349"/>
      <c r="AB349"/>
      <c r="AC349"/>
      <c r="AD349"/>
      <c r="AE349"/>
      <c r="AF349"/>
      <c r="AG349"/>
      <c r="AH349"/>
      <c r="AI349"/>
    </row>
    <row r="350" spans="1:35" s="33" customFormat="1" ht="15.75">
      <c r="A350" s="175"/>
      <c r="B350" s="163"/>
      <c r="C350" s="123"/>
      <c r="D350" s="123"/>
      <c r="E350" s="32"/>
      <c r="F350"/>
      <c r="G350"/>
      <c r="H350"/>
      <c r="I350"/>
      <c r="J350"/>
      <c r="K350"/>
      <c r="L350"/>
      <c r="M350"/>
      <c r="N350"/>
      <c r="O350"/>
      <c r="P350"/>
      <c r="Q350"/>
      <c r="R350"/>
      <c r="S350"/>
      <c r="T350"/>
      <c r="U350"/>
      <c r="V350"/>
      <c r="W350"/>
      <c r="X350"/>
      <c r="Y350"/>
      <c r="Z350"/>
      <c r="AA350"/>
      <c r="AB350"/>
      <c r="AC350"/>
      <c r="AD350"/>
      <c r="AE350"/>
      <c r="AF350"/>
      <c r="AG350"/>
      <c r="AH350"/>
      <c r="AI350"/>
    </row>
    <row r="351" spans="1:35" s="33" customFormat="1" ht="15.75">
      <c r="A351" s="175"/>
      <c r="B351" s="163"/>
      <c r="C351" s="123"/>
      <c r="D351" s="123"/>
      <c r="E351" s="32"/>
      <c r="F351"/>
      <c r="G351"/>
      <c r="H351"/>
      <c r="I351"/>
      <c r="J351"/>
      <c r="K351"/>
      <c r="L351"/>
      <c r="M351"/>
      <c r="N351"/>
      <c r="O351"/>
      <c r="P351"/>
      <c r="Q351"/>
      <c r="R351"/>
      <c r="S351"/>
      <c r="T351"/>
      <c r="U351"/>
      <c r="V351"/>
      <c r="W351"/>
      <c r="X351"/>
      <c r="Y351"/>
      <c r="Z351"/>
      <c r="AA351"/>
      <c r="AB351"/>
      <c r="AC351"/>
      <c r="AD351"/>
      <c r="AE351"/>
      <c r="AF351"/>
      <c r="AG351"/>
      <c r="AH351"/>
      <c r="AI351"/>
    </row>
    <row r="352" spans="1:35" s="33" customFormat="1" ht="15.75">
      <c r="A352" s="175"/>
      <c r="B352" s="163"/>
      <c r="C352" s="123"/>
      <c r="D352" s="123"/>
      <c r="E352" s="32"/>
      <c r="F352"/>
      <c r="G352"/>
      <c r="H352"/>
      <c r="I352"/>
      <c r="J352"/>
      <c r="K352"/>
      <c r="L352"/>
      <c r="M352"/>
      <c r="N352"/>
      <c r="O352"/>
      <c r="P352"/>
      <c r="Q352"/>
      <c r="R352"/>
      <c r="S352"/>
      <c r="T352"/>
      <c r="U352"/>
      <c r="V352"/>
      <c r="W352"/>
      <c r="X352"/>
      <c r="Y352"/>
      <c r="Z352"/>
      <c r="AA352"/>
      <c r="AB352"/>
      <c r="AC352"/>
      <c r="AD352"/>
      <c r="AE352"/>
      <c r="AF352"/>
      <c r="AG352"/>
      <c r="AH352"/>
      <c r="AI352"/>
    </row>
    <row r="353" spans="1:35" s="33" customFormat="1" ht="15.75">
      <c r="A353" s="175"/>
      <c r="B353" s="163"/>
      <c r="C353" s="123"/>
      <c r="D353" s="123"/>
      <c r="E353" s="32"/>
      <c r="F353"/>
      <c r="G353"/>
      <c r="H353"/>
      <c r="I353"/>
      <c r="J353"/>
      <c r="K353"/>
      <c r="L353"/>
      <c r="M353"/>
      <c r="N353"/>
      <c r="O353"/>
      <c r="P353"/>
      <c r="Q353"/>
      <c r="R353"/>
      <c r="S353"/>
      <c r="T353"/>
      <c r="U353"/>
      <c r="V353"/>
      <c r="W353"/>
      <c r="X353"/>
      <c r="Y353"/>
      <c r="Z353"/>
      <c r="AA353"/>
      <c r="AB353"/>
      <c r="AC353"/>
      <c r="AD353"/>
      <c r="AE353"/>
      <c r="AF353"/>
      <c r="AG353"/>
      <c r="AH353"/>
      <c r="AI353"/>
    </row>
    <row r="354" spans="1:35" s="33" customFormat="1" ht="15.75">
      <c r="A354" s="175"/>
      <c r="B354" s="163"/>
      <c r="C354" s="123"/>
      <c r="D354" s="123"/>
      <c r="E354" s="32"/>
      <c r="F354"/>
      <c r="G354"/>
      <c r="H354"/>
      <c r="I354"/>
      <c r="J354"/>
      <c r="K354"/>
      <c r="L354"/>
      <c r="M354"/>
      <c r="N354"/>
      <c r="O354"/>
      <c r="P354"/>
      <c r="Q354"/>
      <c r="R354"/>
      <c r="S354"/>
      <c r="T354"/>
      <c r="U354"/>
      <c r="V354"/>
      <c r="W354"/>
      <c r="X354"/>
      <c r="Y354"/>
      <c r="Z354"/>
      <c r="AA354"/>
      <c r="AB354"/>
      <c r="AC354"/>
      <c r="AD354"/>
      <c r="AE354"/>
      <c r="AF354"/>
      <c r="AG354"/>
      <c r="AH354"/>
      <c r="AI354"/>
    </row>
    <row r="355" spans="1:35" s="33" customFormat="1" ht="15.75">
      <c r="A355" s="175"/>
      <c r="B355" s="163"/>
      <c r="C355" s="123"/>
      <c r="D355" s="123"/>
      <c r="E355" s="32"/>
      <c r="F355"/>
      <c r="G355"/>
      <c r="H355"/>
      <c r="I355"/>
      <c r="J355"/>
      <c r="K355"/>
      <c r="L355"/>
      <c r="M355"/>
      <c r="N355"/>
      <c r="O355"/>
      <c r="P355"/>
      <c r="Q355"/>
      <c r="R355"/>
      <c r="S355"/>
      <c r="T355"/>
      <c r="U355"/>
      <c r="V355"/>
      <c r="W355"/>
      <c r="X355"/>
      <c r="Y355"/>
      <c r="Z355"/>
      <c r="AA355"/>
      <c r="AB355"/>
      <c r="AC355"/>
      <c r="AD355"/>
      <c r="AE355"/>
      <c r="AF355"/>
      <c r="AG355"/>
      <c r="AH355"/>
      <c r="AI355"/>
    </row>
    <row r="356" spans="1:35" s="33" customFormat="1" ht="15.75">
      <c r="A356" s="175"/>
      <c r="B356" s="163"/>
      <c r="C356" s="123"/>
      <c r="D356" s="123"/>
      <c r="E356" s="32"/>
      <c r="F356"/>
      <c r="G356"/>
      <c r="H356"/>
      <c r="I356"/>
      <c r="J356"/>
      <c r="K356"/>
      <c r="L356"/>
      <c r="M356"/>
      <c r="N356"/>
      <c r="O356"/>
      <c r="P356"/>
      <c r="Q356"/>
      <c r="R356"/>
      <c r="S356"/>
      <c r="T356"/>
      <c r="U356"/>
      <c r="V356"/>
      <c r="W356"/>
      <c r="X356"/>
      <c r="Y356"/>
      <c r="Z356"/>
      <c r="AA356"/>
      <c r="AB356"/>
      <c r="AC356"/>
      <c r="AD356"/>
      <c r="AE356"/>
      <c r="AF356"/>
      <c r="AG356"/>
      <c r="AH356"/>
      <c r="AI356"/>
    </row>
    <row r="357" spans="1:35" s="33" customFormat="1" ht="15.75">
      <c r="A357" s="175"/>
      <c r="B357" s="163"/>
      <c r="C357" s="123"/>
      <c r="D357" s="123"/>
      <c r="E357" s="32"/>
      <c r="F357"/>
      <c r="G357"/>
      <c r="H357"/>
      <c r="I357"/>
      <c r="J357"/>
      <c r="K357"/>
      <c r="L357"/>
      <c r="M357"/>
      <c r="N357"/>
      <c r="O357"/>
      <c r="P357"/>
      <c r="Q357"/>
      <c r="R357"/>
      <c r="S357"/>
      <c r="T357"/>
      <c r="U357"/>
      <c r="V357"/>
      <c r="W357"/>
      <c r="X357"/>
      <c r="Y357"/>
      <c r="Z357"/>
      <c r="AA357"/>
      <c r="AB357"/>
      <c r="AC357"/>
      <c r="AD357"/>
      <c r="AE357"/>
      <c r="AF357"/>
      <c r="AG357"/>
      <c r="AH357"/>
      <c r="AI357"/>
    </row>
    <row r="358" spans="1:35" s="33" customFormat="1" ht="15.75">
      <c r="A358" s="175"/>
      <c r="B358" s="163"/>
      <c r="C358" s="123"/>
      <c r="D358" s="123"/>
      <c r="E358" s="32"/>
      <c r="F358"/>
      <c r="G358"/>
      <c r="H358"/>
      <c r="I358"/>
      <c r="J358"/>
      <c r="K358"/>
      <c r="L358"/>
      <c r="M358"/>
      <c r="N358"/>
      <c r="O358"/>
      <c r="P358"/>
      <c r="Q358"/>
      <c r="R358"/>
      <c r="S358"/>
      <c r="T358"/>
      <c r="U358"/>
      <c r="V358"/>
      <c r="W358"/>
      <c r="X358"/>
      <c r="Y358"/>
      <c r="Z358"/>
      <c r="AA358"/>
      <c r="AB358"/>
      <c r="AC358"/>
      <c r="AD358"/>
      <c r="AE358"/>
      <c r="AF358"/>
      <c r="AG358"/>
      <c r="AH358"/>
      <c r="AI358"/>
    </row>
    <row r="359" spans="1:35" s="33" customFormat="1" ht="15.75">
      <c r="A359" s="175"/>
      <c r="B359" s="163"/>
      <c r="C359" s="123"/>
      <c r="D359" s="123"/>
      <c r="E359" s="32"/>
      <c r="F359"/>
      <c r="G359"/>
      <c r="H359"/>
      <c r="I359"/>
      <c r="J359"/>
      <c r="K359"/>
      <c r="L359"/>
      <c r="M359"/>
      <c r="N359"/>
      <c r="O359"/>
      <c r="P359"/>
      <c r="Q359"/>
      <c r="R359"/>
      <c r="S359"/>
      <c r="T359"/>
      <c r="U359"/>
      <c r="V359"/>
      <c r="W359"/>
      <c r="X359"/>
      <c r="Y359"/>
      <c r="Z359"/>
      <c r="AA359"/>
      <c r="AB359"/>
      <c r="AC359"/>
      <c r="AD359"/>
      <c r="AE359"/>
      <c r="AF359"/>
      <c r="AG359"/>
      <c r="AH359"/>
      <c r="AI359"/>
    </row>
    <row r="360" spans="1:35" s="33" customFormat="1" ht="15.75">
      <c r="A360" s="175"/>
      <c r="B360" s="163"/>
      <c r="C360" s="123"/>
      <c r="D360" s="123"/>
      <c r="E360" s="32"/>
      <c r="F360"/>
      <c r="G360"/>
      <c r="H360"/>
      <c r="I360"/>
      <c r="J360"/>
      <c r="K360"/>
      <c r="L360"/>
      <c r="M360"/>
      <c r="N360"/>
      <c r="O360"/>
      <c r="P360"/>
      <c r="Q360"/>
      <c r="R360"/>
      <c r="S360"/>
      <c r="T360"/>
      <c r="U360"/>
      <c r="V360"/>
      <c r="W360"/>
      <c r="X360"/>
      <c r="Y360"/>
      <c r="Z360"/>
      <c r="AA360"/>
      <c r="AB360"/>
      <c r="AC360"/>
      <c r="AD360"/>
      <c r="AE360"/>
      <c r="AF360"/>
      <c r="AG360"/>
      <c r="AH360"/>
      <c r="AI360"/>
    </row>
    <row r="361" spans="1:35" s="33" customFormat="1" ht="15.75">
      <c r="A361" s="175"/>
      <c r="B361" s="163"/>
      <c r="C361" s="123"/>
      <c r="D361" s="123"/>
      <c r="E361" s="32"/>
      <c r="F361"/>
      <c r="G361"/>
      <c r="H361"/>
      <c r="I361"/>
      <c r="J361"/>
      <c r="K361"/>
      <c r="L361"/>
      <c r="M361"/>
      <c r="N361"/>
      <c r="O361"/>
      <c r="P361"/>
      <c r="Q361"/>
      <c r="R361"/>
      <c r="S361"/>
      <c r="T361"/>
      <c r="U361"/>
      <c r="V361"/>
      <c r="W361"/>
      <c r="X361"/>
      <c r="Y361"/>
      <c r="Z361"/>
      <c r="AA361"/>
      <c r="AB361"/>
      <c r="AC361"/>
      <c r="AD361"/>
      <c r="AE361"/>
      <c r="AF361"/>
      <c r="AG361"/>
      <c r="AH361"/>
      <c r="AI361"/>
    </row>
    <row r="362" spans="1:35" s="33" customFormat="1" ht="15.75">
      <c r="A362" s="175"/>
      <c r="B362" s="163"/>
      <c r="C362" s="123"/>
      <c r="D362" s="123"/>
      <c r="E362" s="32"/>
      <c r="F362"/>
      <c r="G362"/>
      <c r="H362"/>
      <c r="I362"/>
      <c r="J362"/>
      <c r="K362"/>
      <c r="L362"/>
      <c r="M362"/>
      <c r="N362"/>
      <c r="O362"/>
      <c r="P362"/>
      <c r="Q362"/>
      <c r="R362"/>
      <c r="S362"/>
      <c r="T362"/>
      <c r="U362"/>
      <c r="V362"/>
      <c r="W362"/>
      <c r="X362"/>
      <c r="Y362"/>
      <c r="Z362"/>
      <c r="AA362"/>
      <c r="AB362"/>
      <c r="AC362"/>
      <c r="AD362"/>
      <c r="AE362"/>
      <c r="AF362"/>
      <c r="AG362"/>
      <c r="AH362"/>
      <c r="AI362"/>
    </row>
    <row r="363" spans="1:35" s="33" customFormat="1" ht="15.75">
      <c r="A363" s="175"/>
      <c r="B363" s="163"/>
      <c r="C363" s="123"/>
      <c r="D363" s="123"/>
      <c r="E363" s="32"/>
      <c r="F363"/>
      <c r="G363"/>
      <c r="H363"/>
      <c r="I363"/>
      <c r="J363"/>
      <c r="K363"/>
      <c r="L363"/>
      <c r="M363"/>
      <c r="N363"/>
      <c r="O363"/>
      <c r="P363"/>
      <c r="Q363"/>
      <c r="R363"/>
      <c r="S363"/>
      <c r="T363"/>
      <c r="U363"/>
      <c r="V363"/>
      <c r="W363"/>
      <c r="X363"/>
      <c r="Y363"/>
      <c r="Z363"/>
      <c r="AA363"/>
      <c r="AB363"/>
      <c r="AC363"/>
      <c r="AD363"/>
      <c r="AE363"/>
      <c r="AF363"/>
      <c r="AG363"/>
      <c r="AH363"/>
      <c r="AI363"/>
    </row>
    <row r="364" spans="1:35" s="33" customFormat="1" ht="15.75">
      <c r="A364" s="175"/>
      <c r="B364" s="163"/>
      <c r="C364" s="123"/>
      <c r="D364" s="123"/>
      <c r="E364" s="32"/>
      <c r="F364"/>
      <c r="G364"/>
      <c r="H364"/>
      <c r="I364"/>
      <c r="J364"/>
      <c r="K364"/>
      <c r="L364"/>
      <c r="M364"/>
      <c r="N364"/>
      <c r="O364"/>
      <c r="P364"/>
      <c r="Q364"/>
      <c r="R364"/>
      <c r="S364"/>
      <c r="T364"/>
      <c r="U364"/>
      <c r="V364"/>
      <c r="W364"/>
      <c r="X364"/>
      <c r="Y364"/>
      <c r="Z364"/>
      <c r="AA364"/>
      <c r="AB364"/>
      <c r="AC364"/>
      <c r="AD364"/>
      <c r="AE364"/>
      <c r="AF364"/>
      <c r="AG364"/>
      <c r="AH364"/>
      <c r="AI364"/>
    </row>
    <row r="365" spans="1:35" s="33" customFormat="1" ht="15.75">
      <c r="A365" s="175"/>
      <c r="B365" s="163"/>
      <c r="C365" s="123"/>
      <c r="D365" s="123"/>
      <c r="E365" s="32"/>
      <c r="F365"/>
      <c r="G365"/>
      <c r="H365"/>
      <c r="I365"/>
      <c r="J365"/>
      <c r="K365"/>
      <c r="L365"/>
      <c r="M365"/>
      <c r="N365"/>
      <c r="O365"/>
      <c r="P365"/>
      <c r="Q365"/>
      <c r="R365"/>
      <c r="S365"/>
      <c r="T365"/>
      <c r="U365"/>
      <c r="V365"/>
      <c r="W365"/>
      <c r="X365"/>
      <c r="Y365"/>
      <c r="Z365"/>
      <c r="AA365"/>
      <c r="AB365"/>
      <c r="AC365"/>
      <c r="AD365"/>
      <c r="AE365"/>
      <c r="AF365"/>
      <c r="AG365"/>
      <c r="AH365"/>
      <c r="AI365"/>
    </row>
    <row r="366" spans="1:35" s="33" customFormat="1" ht="15.75">
      <c r="A366" s="175"/>
      <c r="B366" s="163"/>
      <c r="C366" s="123"/>
      <c r="D366" s="123"/>
      <c r="E366" s="32"/>
      <c r="F366"/>
      <c r="G366"/>
      <c r="H366"/>
      <c r="I366"/>
      <c r="J366"/>
      <c r="K366"/>
      <c r="L366"/>
      <c r="M366"/>
      <c r="N366"/>
      <c r="O366"/>
      <c r="P366"/>
      <c r="Q366"/>
      <c r="R366"/>
      <c r="S366"/>
      <c r="T366"/>
      <c r="U366"/>
      <c r="V366"/>
      <c r="W366"/>
      <c r="X366"/>
      <c r="Y366"/>
      <c r="Z366"/>
      <c r="AA366"/>
      <c r="AB366"/>
      <c r="AC366"/>
      <c r="AD366"/>
      <c r="AE366"/>
      <c r="AF366"/>
      <c r="AG366"/>
      <c r="AH366"/>
      <c r="AI366"/>
    </row>
    <row r="367" spans="1:35" s="33" customFormat="1" ht="15.75">
      <c r="A367" s="175"/>
      <c r="B367" s="163"/>
      <c r="C367" s="123"/>
      <c r="D367" s="123"/>
      <c r="E367" s="32"/>
      <c r="F367"/>
      <c r="G367"/>
      <c r="H367"/>
      <c r="I367"/>
      <c r="J367"/>
      <c r="K367"/>
      <c r="L367"/>
      <c r="M367"/>
      <c r="N367"/>
      <c r="O367"/>
      <c r="P367"/>
      <c r="Q367"/>
      <c r="R367"/>
      <c r="S367"/>
      <c r="T367"/>
      <c r="U367"/>
      <c r="V367"/>
      <c r="W367"/>
      <c r="X367"/>
      <c r="Y367"/>
      <c r="Z367"/>
      <c r="AA367"/>
      <c r="AB367"/>
      <c r="AC367"/>
      <c r="AD367"/>
      <c r="AE367"/>
      <c r="AF367"/>
      <c r="AG367"/>
      <c r="AH367"/>
      <c r="AI367"/>
    </row>
    <row r="368" spans="1:35" s="33" customFormat="1" ht="15.75">
      <c r="A368" s="175"/>
      <c r="B368" s="163"/>
      <c r="C368" s="123"/>
      <c r="D368" s="123"/>
      <c r="E368" s="32"/>
      <c r="F368"/>
      <c r="G368"/>
      <c r="H368"/>
      <c r="I368"/>
      <c r="J368"/>
      <c r="K368"/>
      <c r="L368"/>
      <c r="M368"/>
      <c r="N368"/>
      <c r="O368"/>
      <c r="P368"/>
      <c r="Q368"/>
      <c r="R368"/>
      <c r="S368"/>
      <c r="T368"/>
      <c r="U368"/>
      <c r="V368"/>
      <c r="W368"/>
      <c r="X368"/>
      <c r="Y368"/>
      <c r="Z368"/>
      <c r="AA368"/>
      <c r="AB368"/>
      <c r="AC368"/>
      <c r="AD368"/>
      <c r="AE368"/>
      <c r="AF368"/>
      <c r="AG368"/>
      <c r="AH368"/>
      <c r="AI368"/>
    </row>
    <row r="369" spans="1:35" s="33" customFormat="1" ht="15.75">
      <c r="A369" s="175"/>
      <c r="B369" s="163"/>
      <c r="C369" s="123"/>
      <c r="D369" s="123"/>
      <c r="E369" s="32"/>
      <c r="F369"/>
      <c r="G369"/>
      <c r="H369"/>
      <c r="I369"/>
      <c r="J369"/>
      <c r="K369"/>
      <c r="L369"/>
      <c r="M369"/>
      <c r="N369"/>
      <c r="O369"/>
      <c r="P369"/>
      <c r="Q369"/>
      <c r="R369"/>
      <c r="S369"/>
      <c r="T369"/>
      <c r="U369"/>
      <c r="V369"/>
      <c r="W369"/>
      <c r="X369"/>
      <c r="Y369"/>
      <c r="Z369"/>
      <c r="AA369"/>
      <c r="AB369"/>
      <c r="AC369"/>
      <c r="AD369"/>
      <c r="AE369"/>
      <c r="AF369"/>
      <c r="AG369"/>
      <c r="AH369"/>
      <c r="AI369"/>
    </row>
    <row r="370" spans="1:35" s="33" customFormat="1" ht="15.75">
      <c r="A370" s="175"/>
      <c r="B370" s="163"/>
      <c r="C370" s="123"/>
      <c r="D370" s="123"/>
      <c r="E370" s="32"/>
      <c r="F370"/>
      <c r="G370"/>
      <c r="H370"/>
      <c r="I370"/>
      <c r="J370"/>
      <c r="K370"/>
      <c r="L370"/>
      <c r="M370"/>
      <c r="N370"/>
      <c r="O370"/>
      <c r="P370"/>
      <c r="Q370"/>
      <c r="R370"/>
      <c r="S370"/>
      <c r="T370"/>
      <c r="U370"/>
      <c r="V370"/>
      <c r="W370"/>
      <c r="X370"/>
      <c r="Y370"/>
      <c r="Z370"/>
      <c r="AA370"/>
      <c r="AB370"/>
      <c r="AC370"/>
      <c r="AD370"/>
      <c r="AE370"/>
      <c r="AF370"/>
      <c r="AG370"/>
      <c r="AH370"/>
      <c r="AI370"/>
    </row>
    <row r="371" spans="1:35" s="33" customFormat="1" ht="15.75">
      <c r="A371" s="175"/>
      <c r="B371" s="163"/>
      <c r="C371" s="123"/>
      <c r="D371" s="123"/>
      <c r="E371" s="32"/>
      <c r="F371"/>
      <c r="G371"/>
      <c r="H371"/>
      <c r="I371"/>
      <c r="J371"/>
      <c r="K371"/>
      <c r="L371"/>
      <c r="M371"/>
      <c r="N371"/>
      <c r="O371"/>
      <c r="P371"/>
      <c r="Q371"/>
      <c r="R371"/>
      <c r="S371"/>
      <c r="T371"/>
      <c r="U371"/>
      <c r="V371"/>
      <c r="W371"/>
      <c r="X371"/>
      <c r="Y371"/>
      <c r="Z371"/>
      <c r="AA371"/>
      <c r="AB371"/>
      <c r="AC371"/>
      <c r="AD371"/>
      <c r="AE371"/>
      <c r="AF371"/>
      <c r="AG371"/>
      <c r="AH371"/>
      <c r="AI371"/>
    </row>
    <row r="372" spans="1:35" s="33" customFormat="1" ht="15.75">
      <c r="A372" s="175"/>
      <c r="B372" s="163"/>
      <c r="C372" s="123"/>
      <c r="D372" s="123"/>
      <c r="E372" s="32"/>
      <c r="F372"/>
      <c r="G372"/>
      <c r="H372"/>
      <c r="I372"/>
      <c r="J372"/>
      <c r="K372"/>
      <c r="L372"/>
      <c r="M372"/>
      <c r="N372"/>
      <c r="O372"/>
      <c r="P372"/>
      <c r="Q372"/>
      <c r="R372"/>
      <c r="S372"/>
      <c r="T372"/>
      <c r="U372"/>
      <c r="V372"/>
      <c r="W372"/>
      <c r="X372"/>
      <c r="Y372"/>
      <c r="Z372"/>
      <c r="AA372"/>
      <c r="AB372"/>
      <c r="AC372"/>
      <c r="AD372"/>
      <c r="AE372"/>
      <c r="AF372"/>
      <c r="AG372"/>
      <c r="AH372"/>
      <c r="AI372"/>
    </row>
    <row r="373" spans="1:35" s="33" customFormat="1" ht="15.75">
      <c r="A373" s="175"/>
      <c r="B373" s="163"/>
      <c r="C373" s="123"/>
      <c r="D373" s="123"/>
      <c r="E373" s="32"/>
      <c r="F373"/>
      <c r="G373"/>
      <c r="H373"/>
      <c r="I373"/>
      <c r="J373"/>
      <c r="K373"/>
      <c r="L373"/>
      <c r="M373"/>
      <c r="N373"/>
      <c r="O373"/>
      <c r="P373"/>
      <c r="Q373"/>
      <c r="R373"/>
      <c r="S373"/>
      <c r="T373"/>
      <c r="U373"/>
      <c r="V373"/>
      <c r="W373"/>
      <c r="X373"/>
      <c r="Y373"/>
      <c r="Z373"/>
      <c r="AA373"/>
      <c r="AB373"/>
      <c r="AC373"/>
      <c r="AD373"/>
      <c r="AE373"/>
      <c r="AF373"/>
      <c r="AG373"/>
      <c r="AH373"/>
      <c r="AI373"/>
    </row>
    <row r="374" spans="1:35" s="33" customFormat="1" ht="15.75">
      <c r="A374" s="175"/>
      <c r="B374" s="163"/>
      <c r="C374" s="123"/>
      <c r="D374" s="123"/>
      <c r="E374" s="32"/>
      <c r="F374"/>
      <c r="G374"/>
      <c r="H374"/>
      <c r="I374"/>
      <c r="J374"/>
      <c r="K374"/>
      <c r="L374"/>
      <c r="M374"/>
      <c r="N374"/>
      <c r="O374"/>
      <c r="P374"/>
      <c r="Q374"/>
      <c r="R374"/>
      <c r="S374"/>
      <c r="T374"/>
      <c r="U374"/>
      <c r="V374"/>
      <c r="W374"/>
      <c r="X374"/>
      <c r="Y374"/>
      <c r="Z374"/>
      <c r="AA374"/>
      <c r="AB374"/>
      <c r="AC374"/>
      <c r="AD374"/>
      <c r="AE374"/>
      <c r="AF374"/>
      <c r="AG374"/>
      <c r="AH374"/>
      <c r="AI374"/>
    </row>
    <row r="375" spans="1:35" s="33" customFormat="1" ht="15.75">
      <c r="A375" s="175"/>
      <c r="B375" s="163"/>
      <c r="C375" s="123"/>
      <c r="D375" s="123"/>
      <c r="E375" s="32"/>
      <c r="F375"/>
      <c r="G375"/>
      <c r="H375"/>
      <c r="I375"/>
      <c r="J375"/>
      <c r="K375"/>
      <c r="L375"/>
      <c r="M375"/>
      <c r="N375"/>
      <c r="O375"/>
      <c r="P375"/>
      <c r="Q375"/>
      <c r="R375"/>
      <c r="S375"/>
      <c r="T375"/>
      <c r="U375"/>
      <c r="V375"/>
      <c r="W375"/>
      <c r="X375"/>
      <c r="Y375"/>
      <c r="Z375"/>
      <c r="AA375"/>
      <c r="AB375"/>
      <c r="AC375"/>
      <c r="AD375"/>
      <c r="AE375"/>
      <c r="AF375"/>
      <c r="AG375"/>
      <c r="AH375"/>
      <c r="AI375"/>
    </row>
    <row r="376" spans="1:35" s="33" customFormat="1" ht="15.75">
      <c r="A376" s="175"/>
      <c r="B376" s="163"/>
      <c r="C376" s="123"/>
      <c r="D376" s="123"/>
      <c r="E376" s="32"/>
      <c r="F376"/>
      <c r="G376"/>
      <c r="H376"/>
      <c r="I376"/>
      <c r="J376"/>
      <c r="K376"/>
      <c r="L376"/>
      <c r="M376"/>
      <c r="N376"/>
      <c r="O376"/>
      <c r="P376"/>
      <c r="Q376"/>
      <c r="R376"/>
      <c r="S376"/>
      <c r="T376"/>
      <c r="U376"/>
      <c r="V376"/>
      <c r="W376"/>
      <c r="X376"/>
      <c r="Y376"/>
      <c r="Z376"/>
      <c r="AA376"/>
      <c r="AB376"/>
      <c r="AC376"/>
      <c r="AD376"/>
      <c r="AE376"/>
      <c r="AF376"/>
      <c r="AG376"/>
      <c r="AH376"/>
      <c r="AI376"/>
    </row>
    <row r="377" spans="1:35" s="33" customFormat="1" ht="15.75">
      <c r="A377" s="175"/>
      <c r="B377" s="163"/>
      <c r="C377" s="123"/>
      <c r="D377" s="123"/>
      <c r="E377" s="32"/>
      <c r="F377"/>
      <c r="G377"/>
      <c r="H377"/>
      <c r="I377"/>
      <c r="J377"/>
      <c r="K377"/>
      <c r="L377"/>
      <c r="M377"/>
      <c r="N377"/>
      <c r="O377"/>
      <c r="P377"/>
      <c r="Q377"/>
      <c r="R377"/>
      <c r="S377"/>
      <c r="T377"/>
      <c r="U377"/>
      <c r="V377"/>
      <c r="W377"/>
      <c r="X377"/>
      <c r="Y377"/>
      <c r="Z377"/>
      <c r="AA377"/>
      <c r="AB377"/>
      <c r="AC377"/>
      <c r="AD377"/>
      <c r="AE377"/>
      <c r="AF377"/>
      <c r="AG377"/>
      <c r="AH377"/>
      <c r="AI377"/>
    </row>
    <row r="378" spans="1:35" s="33" customFormat="1" ht="15.75">
      <c r="A378" s="175"/>
      <c r="B378" s="163"/>
      <c r="C378" s="123"/>
      <c r="D378" s="123"/>
      <c r="E378" s="32"/>
      <c r="F378"/>
      <c r="G378"/>
      <c r="H378"/>
      <c r="I378"/>
      <c r="J378"/>
      <c r="K378"/>
      <c r="L378"/>
      <c r="M378"/>
      <c r="N378"/>
      <c r="O378"/>
      <c r="P378"/>
      <c r="Q378"/>
      <c r="R378"/>
      <c r="S378"/>
      <c r="T378"/>
      <c r="U378"/>
      <c r="V378"/>
      <c r="W378"/>
      <c r="X378"/>
      <c r="Y378"/>
      <c r="Z378"/>
      <c r="AA378"/>
      <c r="AB378"/>
      <c r="AC378"/>
      <c r="AD378"/>
      <c r="AE378"/>
      <c r="AF378"/>
      <c r="AG378"/>
      <c r="AH378"/>
      <c r="AI378"/>
    </row>
    <row r="379" spans="1:35" s="33" customFormat="1" ht="15.75">
      <c r="A379" s="175"/>
      <c r="B379" s="163"/>
      <c r="C379" s="123"/>
      <c r="D379" s="123"/>
      <c r="E379" s="32"/>
      <c r="F379"/>
      <c r="G379"/>
      <c r="H379"/>
      <c r="I379"/>
      <c r="J379"/>
      <c r="K379"/>
      <c r="L379"/>
      <c r="M379"/>
      <c r="N379"/>
      <c r="O379"/>
      <c r="P379"/>
      <c r="Q379"/>
      <c r="R379"/>
      <c r="S379"/>
      <c r="T379"/>
      <c r="U379"/>
      <c r="V379"/>
      <c r="W379"/>
      <c r="X379"/>
      <c r="Y379"/>
      <c r="Z379"/>
      <c r="AA379"/>
      <c r="AB379"/>
      <c r="AC379"/>
      <c r="AD379"/>
      <c r="AE379"/>
      <c r="AF379"/>
      <c r="AG379"/>
      <c r="AH379"/>
      <c r="AI379"/>
    </row>
    <row r="380" spans="1:35" s="33" customFormat="1" ht="15.75">
      <c r="A380" s="175"/>
      <c r="B380" s="163"/>
      <c r="C380" s="123"/>
      <c r="D380" s="123"/>
      <c r="E380" s="32"/>
      <c r="F380"/>
      <c r="G380"/>
      <c r="H380"/>
      <c r="I380"/>
      <c r="J380"/>
      <c r="K380"/>
      <c r="L380"/>
      <c r="M380"/>
      <c r="N380"/>
      <c r="O380"/>
      <c r="P380"/>
      <c r="Q380"/>
      <c r="R380"/>
      <c r="S380"/>
      <c r="T380"/>
      <c r="U380"/>
      <c r="V380"/>
      <c r="W380"/>
      <c r="X380"/>
      <c r="Y380"/>
      <c r="Z380"/>
      <c r="AA380"/>
      <c r="AB380"/>
      <c r="AC380"/>
      <c r="AD380"/>
      <c r="AE380"/>
      <c r="AF380"/>
      <c r="AG380"/>
      <c r="AH380"/>
      <c r="AI380"/>
    </row>
    <row r="381" spans="1:35" s="33" customFormat="1" ht="15.75">
      <c r="A381" s="175"/>
      <c r="B381" s="163"/>
      <c r="C381" s="123"/>
      <c r="D381" s="123"/>
      <c r="E381" s="32"/>
      <c r="F381"/>
      <c r="G381"/>
      <c r="H381"/>
      <c r="I381"/>
      <c r="J381"/>
      <c r="K381"/>
      <c r="L381"/>
      <c r="M381"/>
      <c r="N381"/>
      <c r="O381"/>
      <c r="P381"/>
      <c r="Q381"/>
      <c r="R381"/>
      <c r="S381"/>
      <c r="T381"/>
      <c r="U381"/>
      <c r="V381"/>
      <c r="W381"/>
      <c r="X381"/>
      <c r="Y381"/>
      <c r="Z381"/>
      <c r="AA381"/>
      <c r="AB381"/>
      <c r="AC381"/>
      <c r="AD381"/>
      <c r="AE381"/>
      <c r="AF381"/>
      <c r="AG381"/>
      <c r="AH381"/>
      <c r="AI381"/>
    </row>
    <row r="382" spans="1:35" s="33" customFormat="1" ht="15.75">
      <c r="A382" s="175"/>
      <c r="B382" s="163"/>
      <c r="C382" s="123"/>
      <c r="D382" s="123"/>
      <c r="E382" s="32"/>
      <c r="F382"/>
      <c r="G382"/>
      <c r="H382"/>
      <c r="I382"/>
      <c r="J382"/>
      <c r="K382"/>
      <c r="L382"/>
      <c r="M382"/>
      <c r="N382"/>
      <c r="O382"/>
      <c r="P382"/>
      <c r="Q382"/>
      <c r="R382"/>
      <c r="S382"/>
      <c r="T382"/>
      <c r="U382"/>
      <c r="V382"/>
      <c r="W382"/>
      <c r="X382"/>
      <c r="Y382"/>
      <c r="Z382"/>
      <c r="AA382"/>
      <c r="AB382"/>
      <c r="AC382"/>
      <c r="AD382"/>
      <c r="AE382"/>
      <c r="AF382"/>
      <c r="AG382"/>
      <c r="AH382"/>
      <c r="AI382"/>
    </row>
    <row r="383" spans="1:35" s="33" customFormat="1" ht="15.75">
      <c r="A383" s="175"/>
      <c r="B383" s="163"/>
      <c r="C383" s="123"/>
      <c r="D383" s="123"/>
      <c r="E383" s="32"/>
      <c r="F383"/>
      <c r="G383"/>
      <c r="H383"/>
      <c r="I383"/>
      <c r="J383"/>
      <c r="K383"/>
      <c r="L383"/>
      <c r="M383"/>
      <c r="N383"/>
      <c r="O383"/>
      <c r="P383"/>
      <c r="Q383"/>
      <c r="R383"/>
      <c r="S383"/>
      <c r="T383"/>
      <c r="U383"/>
      <c r="V383"/>
      <c r="W383"/>
      <c r="X383"/>
      <c r="Y383"/>
      <c r="Z383"/>
      <c r="AA383"/>
      <c r="AB383"/>
      <c r="AC383"/>
      <c r="AD383"/>
      <c r="AE383"/>
      <c r="AF383"/>
      <c r="AG383"/>
      <c r="AH383"/>
      <c r="AI383"/>
    </row>
    <row r="384" spans="1:35" s="33" customFormat="1" ht="15.75">
      <c r="A384" s="175"/>
      <c r="B384" s="163"/>
      <c r="C384" s="123"/>
      <c r="D384" s="123"/>
      <c r="E384" s="32"/>
      <c r="F384"/>
      <c r="G384"/>
      <c r="H384"/>
      <c r="I384"/>
      <c r="J384"/>
      <c r="K384"/>
      <c r="L384"/>
      <c r="M384"/>
      <c r="N384"/>
      <c r="O384"/>
      <c r="P384"/>
      <c r="Q384"/>
      <c r="R384"/>
      <c r="S384"/>
      <c r="T384"/>
      <c r="U384"/>
      <c r="V384"/>
      <c r="W384"/>
      <c r="X384"/>
      <c r="Y384"/>
      <c r="Z384"/>
      <c r="AA384"/>
      <c r="AB384"/>
      <c r="AC384"/>
      <c r="AD384"/>
      <c r="AE384"/>
      <c r="AF384"/>
      <c r="AG384"/>
      <c r="AH384"/>
      <c r="AI384"/>
    </row>
    <row r="385" spans="1:35" s="33" customFormat="1" ht="15.75">
      <c r="A385" s="175"/>
      <c r="B385" s="163"/>
      <c r="C385" s="123"/>
      <c r="D385" s="123"/>
      <c r="E385" s="32"/>
      <c r="F385"/>
      <c r="G385"/>
      <c r="H385"/>
      <c r="I385"/>
      <c r="J385"/>
      <c r="K385"/>
      <c r="L385"/>
      <c r="M385"/>
      <c r="N385"/>
      <c r="O385"/>
      <c r="P385"/>
      <c r="Q385"/>
      <c r="R385"/>
      <c r="S385"/>
      <c r="T385"/>
      <c r="U385"/>
      <c r="V385"/>
      <c r="W385"/>
      <c r="X385"/>
      <c r="Y385"/>
      <c r="Z385"/>
      <c r="AA385"/>
      <c r="AB385"/>
      <c r="AC385"/>
      <c r="AD385"/>
      <c r="AE385"/>
      <c r="AF385"/>
      <c r="AG385"/>
      <c r="AH385"/>
      <c r="AI385"/>
    </row>
    <row r="386" spans="1:35" s="33" customFormat="1" ht="15.75">
      <c r="A386" s="175"/>
      <c r="B386" s="163"/>
      <c r="C386" s="123"/>
      <c r="D386" s="123"/>
      <c r="E386" s="32"/>
      <c r="F386"/>
      <c r="G386"/>
      <c r="H386"/>
      <c r="I386"/>
      <c r="J386"/>
      <c r="K386"/>
      <c r="L386"/>
      <c r="M386"/>
      <c r="N386"/>
      <c r="O386"/>
      <c r="P386"/>
      <c r="Q386"/>
      <c r="R386"/>
      <c r="S386"/>
      <c r="T386"/>
      <c r="U386"/>
      <c r="V386"/>
      <c r="W386"/>
      <c r="X386"/>
      <c r="Y386"/>
      <c r="Z386"/>
      <c r="AA386"/>
      <c r="AB386"/>
      <c r="AC386"/>
      <c r="AD386"/>
      <c r="AE386"/>
      <c r="AF386"/>
      <c r="AG386"/>
      <c r="AH386"/>
      <c r="AI386"/>
    </row>
    <row r="387" spans="1:35" s="33" customFormat="1" ht="15.75">
      <c r="A387" s="175"/>
      <c r="B387" s="163"/>
      <c r="C387" s="123"/>
      <c r="D387" s="123"/>
      <c r="E387" s="32"/>
      <c r="F387"/>
      <c r="G387"/>
      <c r="H387"/>
      <c r="I387"/>
      <c r="J387"/>
      <c r="K387"/>
      <c r="L387"/>
      <c r="M387"/>
      <c r="N387"/>
      <c r="O387"/>
      <c r="P387"/>
      <c r="Q387"/>
      <c r="R387"/>
      <c r="S387"/>
      <c r="T387"/>
      <c r="U387"/>
      <c r="V387"/>
      <c r="W387"/>
      <c r="X387"/>
      <c r="Y387"/>
      <c r="Z387"/>
      <c r="AA387"/>
      <c r="AB387"/>
      <c r="AC387"/>
      <c r="AD387"/>
      <c r="AE387"/>
      <c r="AF387"/>
      <c r="AG387"/>
      <c r="AH387"/>
      <c r="AI387"/>
    </row>
    <row r="388" spans="1:35" s="33" customFormat="1" ht="15.75">
      <c r="A388" s="175"/>
      <c r="B388" s="163"/>
      <c r="C388" s="123"/>
      <c r="D388" s="123"/>
      <c r="E388" s="32"/>
      <c r="F388"/>
      <c r="G388"/>
      <c r="H388"/>
      <c r="I388"/>
      <c r="J388"/>
      <c r="K388"/>
      <c r="L388"/>
      <c r="M388"/>
      <c r="N388"/>
      <c r="O388"/>
      <c r="P388"/>
      <c r="Q388"/>
      <c r="R388"/>
      <c r="S388"/>
      <c r="T388"/>
      <c r="U388"/>
      <c r="V388"/>
      <c r="W388"/>
      <c r="X388"/>
      <c r="Y388"/>
      <c r="Z388"/>
      <c r="AA388"/>
      <c r="AB388"/>
      <c r="AC388"/>
      <c r="AD388"/>
      <c r="AE388"/>
      <c r="AF388"/>
      <c r="AG388"/>
      <c r="AH388"/>
      <c r="AI388"/>
    </row>
    <row r="389" spans="1:35" s="33" customFormat="1" ht="15.75">
      <c r="A389" s="175"/>
      <c r="B389" s="163"/>
      <c r="C389" s="123"/>
      <c r="D389" s="123"/>
      <c r="E389" s="32"/>
      <c r="F389"/>
      <c r="G389"/>
      <c r="H389"/>
      <c r="I389"/>
      <c r="J389"/>
      <c r="K389"/>
      <c r="L389"/>
      <c r="M389"/>
      <c r="N389"/>
      <c r="O389"/>
      <c r="P389"/>
      <c r="Q389"/>
      <c r="R389"/>
      <c r="S389"/>
      <c r="T389"/>
      <c r="U389"/>
      <c r="V389"/>
      <c r="W389"/>
      <c r="X389"/>
      <c r="Y389"/>
      <c r="Z389"/>
      <c r="AA389"/>
      <c r="AB389"/>
      <c r="AC389"/>
      <c r="AD389"/>
      <c r="AE389"/>
      <c r="AF389"/>
      <c r="AG389"/>
      <c r="AH389"/>
      <c r="AI389"/>
    </row>
    <row r="390" spans="1:35" s="33" customFormat="1" ht="15.75">
      <c r="A390" s="175"/>
      <c r="B390" s="163"/>
      <c r="C390" s="123"/>
      <c r="D390" s="123"/>
      <c r="E390" s="32"/>
      <c r="F390"/>
      <c r="G390"/>
      <c r="H390"/>
      <c r="I390"/>
      <c r="J390"/>
      <c r="K390"/>
      <c r="L390"/>
      <c r="M390"/>
      <c r="N390"/>
      <c r="O390"/>
      <c r="P390"/>
      <c r="Q390"/>
      <c r="R390"/>
      <c r="S390"/>
      <c r="T390"/>
      <c r="U390"/>
      <c r="V390"/>
      <c r="W390"/>
      <c r="X390"/>
      <c r="Y390"/>
      <c r="Z390"/>
      <c r="AA390"/>
      <c r="AB390"/>
      <c r="AC390"/>
      <c r="AD390"/>
      <c r="AE390"/>
      <c r="AF390"/>
      <c r="AG390"/>
      <c r="AH390"/>
      <c r="AI390"/>
    </row>
    <row r="391" spans="1:35" s="33" customFormat="1" ht="15.75">
      <c r="A391" s="175"/>
      <c r="B391" s="163"/>
      <c r="C391" s="123"/>
      <c r="D391" s="123"/>
      <c r="E391" s="32"/>
      <c r="F391"/>
      <c r="G391"/>
      <c r="H391"/>
      <c r="I391"/>
      <c r="J391"/>
      <c r="K391"/>
      <c r="L391"/>
      <c r="M391"/>
      <c r="N391"/>
      <c r="O391"/>
      <c r="P391"/>
      <c r="Q391"/>
      <c r="R391"/>
      <c r="S391"/>
      <c r="T391"/>
      <c r="U391"/>
      <c r="V391"/>
      <c r="W391"/>
      <c r="X391"/>
      <c r="Y391"/>
      <c r="Z391"/>
      <c r="AA391"/>
      <c r="AB391"/>
      <c r="AC391"/>
      <c r="AD391"/>
      <c r="AE391"/>
      <c r="AF391"/>
      <c r="AG391"/>
      <c r="AH391"/>
      <c r="AI391"/>
    </row>
    <row r="392" spans="1:35" s="33" customFormat="1" ht="15.75">
      <c r="A392" s="175"/>
      <c r="B392" s="163"/>
      <c r="C392" s="123"/>
      <c r="D392" s="123"/>
      <c r="E392" s="32"/>
      <c r="F392"/>
      <c r="G392"/>
      <c r="H392"/>
      <c r="I392"/>
      <c r="J392"/>
      <c r="K392"/>
      <c r="L392"/>
      <c r="M392"/>
      <c r="N392"/>
      <c r="O392"/>
      <c r="P392"/>
      <c r="Q392"/>
      <c r="R392"/>
      <c r="S392"/>
      <c r="T392"/>
      <c r="U392"/>
      <c r="V392"/>
      <c r="W392"/>
      <c r="X392"/>
      <c r="Y392"/>
      <c r="Z392"/>
      <c r="AA392"/>
      <c r="AB392"/>
      <c r="AC392"/>
      <c r="AD392"/>
      <c r="AE392"/>
      <c r="AF392"/>
      <c r="AG392"/>
      <c r="AH392"/>
      <c r="AI392"/>
    </row>
    <row r="393" spans="1:35" s="33" customFormat="1" ht="15.75">
      <c r="A393" s="175"/>
      <c r="B393" s="163"/>
      <c r="C393" s="123"/>
      <c r="D393" s="123"/>
      <c r="E393" s="32"/>
      <c r="F393"/>
      <c r="G393"/>
      <c r="H393"/>
      <c r="I393"/>
      <c r="J393"/>
      <c r="K393"/>
      <c r="L393"/>
      <c r="M393"/>
      <c r="N393"/>
      <c r="O393"/>
      <c r="P393"/>
      <c r="Q393"/>
      <c r="R393"/>
      <c r="S393"/>
      <c r="T393"/>
      <c r="U393"/>
      <c r="V393"/>
      <c r="W393"/>
      <c r="X393"/>
      <c r="Y393"/>
      <c r="Z393"/>
      <c r="AA393"/>
      <c r="AB393"/>
      <c r="AC393"/>
      <c r="AD393"/>
      <c r="AE393"/>
      <c r="AF393"/>
      <c r="AG393"/>
      <c r="AH393"/>
      <c r="AI393"/>
    </row>
    <row r="394" spans="1:35" s="33" customFormat="1" ht="15.75">
      <c r="A394" s="175"/>
      <c r="B394" s="163"/>
      <c r="C394" s="123"/>
      <c r="D394" s="123"/>
      <c r="E394" s="32"/>
      <c r="F394"/>
      <c r="G394"/>
      <c r="H394"/>
      <c r="I394"/>
      <c r="J394"/>
      <c r="K394"/>
      <c r="L394"/>
      <c r="M394"/>
      <c r="N394"/>
      <c r="O394"/>
      <c r="P394"/>
      <c r="Q394"/>
      <c r="R394"/>
      <c r="S394"/>
      <c r="T394"/>
      <c r="U394"/>
      <c r="V394"/>
      <c r="W394"/>
      <c r="X394"/>
      <c r="Y394"/>
      <c r="Z394"/>
      <c r="AA394"/>
      <c r="AB394"/>
      <c r="AC394"/>
      <c r="AD394"/>
      <c r="AE394"/>
      <c r="AF394"/>
      <c r="AG394"/>
      <c r="AH394"/>
      <c r="AI394"/>
    </row>
    <row r="395" spans="1:35" s="33" customFormat="1" ht="15.75">
      <c r="A395" s="175"/>
      <c r="B395" s="163"/>
      <c r="C395" s="123"/>
      <c r="D395" s="123"/>
      <c r="E395" s="32"/>
      <c r="F395"/>
      <c r="G395"/>
      <c r="H395"/>
      <c r="I395"/>
      <c r="J395"/>
      <c r="K395"/>
      <c r="L395"/>
      <c r="M395"/>
      <c r="N395"/>
      <c r="O395"/>
      <c r="P395"/>
      <c r="Q395"/>
      <c r="R395"/>
      <c r="S395"/>
      <c r="T395"/>
      <c r="U395"/>
      <c r="V395"/>
      <c r="W395"/>
      <c r="X395"/>
      <c r="Y395"/>
      <c r="Z395"/>
      <c r="AA395"/>
      <c r="AB395"/>
      <c r="AC395"/>
      <c r="AD395"/>
      <c r="AE395"/>
      <c r="AF395"/>
      <c r="AG395"/>
      <c r="AH395"/>
      <c r="AI395"/>
    </row>
    <row r="396" spans="1:35" s="33" customFormat="1" ht="15.75">
      <c r="A396" s="175"/>
      <c r="B396" s="163"/>
      <c r="C396" s="123"/>
      <c r="D396" s="123"/>
      <c r="E396" s="32"/>
      <c r="F396"/>
      <c r="G396"/>
      <c r="H396"/>
      <c r="I396"/>
      <c r="J396"/>
      <c r="K396"/>
      <c r="L396"/>
      <c r="M396"/>
      <c r="N396"/>
      <c r="O396"/>
      <c r="P396"/>
      <c r="Q396"/>
      <c r="R396"/>
      <c r="S396"/>
      <c r="T396"/>
      <c r="U396"/>
      <c r="V396"/>
      <c r="W396"/>
      <c r="X396"/>
      <c r="Y396"/>
      <c r="Z396"/>
      <c r="AA396"/>
      <c r="AB396"/>
      <c r="AC396"/>
      <c r="AD396"/>
      <c r="AE396"/>
      <c r="AF396"/>
      <c r="AG396"/>
      <c r="AH396"/>
      <c r="AI396"/>
    </row>
    <row r="397" spans="1:35" s="33" customFormat="1" ht="15.75">
      <c r="A397" s="175"/>
      <c r="B397" s="163"/>
      <c r="C397" s="123"/>
      <c r="D397" s="123"/>
      <c r="E397" s="32"/>
      <c r="F397"/>
      <c r="G397"/>
      <c r="H397"/>
      <c r="I397"/>
      <c r="J397"/>
      <c r="K397"/>
      <c r="L397"/>
      <c r="M397"/>
      <c r="N397"/>
      <c r="O397"/>
      <c r="P397"/>
      <c r="Q397"/>
      <c r="R397"/>
      <c r="S397"/>
      <c r="T397"/>
      <c r="U397"/>
      <c r="V397"/>
      <c r="W397"/>
      <c r="X397"/>
      <c r="Y397"/>
      <c r="Z397"/>
      <c r="AA397"/>
      <c r="AB397"/>
      <c r="AC397"/>
      <c r="AD397"/>
      <c r="AE397"/>
      <c r="AF397"/>
      <c r="AG397"/>
      <c r="AH397"/>
      <c r="AI397"/>
    </row>
    <row r="398" spans="1:35" s="33" customFormat="1" ht="15.75">
      <c r="A398" s="175"/>
      <c r="B398" s="163"/>
      <c r="C398" s="123"/>
      <c r="D398" s="123"/>
      <c r="E398" s="32"/>
      <c r="F398"/>
      <c r="G398"/>
      <c r="H398"/>
      <c r="I398"/>
      <c r="J398"/>
      <c r="K398"/>
      <c r="L398"/>
      <c r="M398"/>
      <c r="N398"/>
      <c r="O398"/>
      <c r="P398"/>
      <c r="Q398"/>
      <c r="R398"/>
      <c r="S398"/>
      <c r="T398"/>
      <c r="U398"/>
      <c r="V398"/>
      <c r="W398"/>
      <c r="X398"/>
      <c r="Y398"/>
      <c r="Z398"/>
      <c r="AA398"/>
      <c r="AB398"/>
      <c r="AC398"/>
      <c r="AD398"/>
      <c r="AE398"/>
      <c r="AF398"/>
      <c r="AG398"/>
      <c r="AH398"/>
      <c r="AI398"/>
    </row>
    <row r="399" spans="1:35" s="33" customFormat="1" ht="15.75">
      <c r="A399" s="175"/>
      <c r="B399" s="163"/>
      <c r="C399" s="123"/>
      <c r="D399" s="123"/>
      <c r="E399" s="32"/>
      <c r="F399"/>
      <c r="G399"/>
      <c r="H399"/>
      <c r="I399"/>
      <c r="J399"/>
      <c r="K399"/>
      <c r="L399"/>
      <c r="M399"/>
      <c r="N399"/>
      <c r="O399"/>
      <c r="P399"/>
      <c r="Q399"/>
      <c r="R399"/>
      <c r="S399"/>
      <c r="T399"/>
      <c r="U399"/>
      <c r="V399"/>
      <c r="W399"/>
      <c r="X399"/>
      <c r="Y399"/>
      <c r="Z399"/>
      <c r="AA399"/>
      <c r="AB399"/>
      <c r="AC399"/>
      <c r="AD399"/>
      <c r="AE399"/>
      <c r="AF399"/>
      <c r="AG399"/>
      <c r="AH399"/>
      <c r="AI399"/>
    </row>
    <row r="400" spans="1:35" s="33" customFormat="1" ht="15.75">
      <c r="A400" s="175"/>
      <c r="B400" s="163"/>
      <c r="C400" s="123"/>
      <c r="D400" s="123"/>
      <c r="E400" s="32"/>
      <c r="F400"/>
      <c r="G400"/>
      <c r="H400"/>
      <c r="I400"/>
      <c r="J400"/>
      <c r="K400"/>
      <c r="L400"/>
      <c r="M400"/>
      <c r="N400"/>
      <c r="O400"/>
      <c r="P400"/>
      <c r="Q400"/>
      <c r="R400"/>
      <c r="S400"/>
      <c r="T400"/>
      <c r="U400"/>
      <c r="V400"/>
      <c r="W400"/>
      <c r="X400"/>
      <c r="Y400"/>
      <c r="Z400"/>
      <c r="AA400"/>
      <c r="AB400"/>
      <c r="AC400"/>
      <c r="AD400"/>
      <c r="AE400"/>
      <c r="AF400"/>
      <c r="AG400"/>
      <c r="AH400"/>
      <c r="AI400"/>
    </row>
    <row r="401" spans="1:35" s="33" customFormat="1" ht="15.75">
      <c r="A401" s="175"/>
      <c r="B401" s="163"/>
      <c r="C401" s="123"/>
      <c r="D401" s="123"/>
      <c r="E401" s="32"/>
      <c r="F401"/>
      <c r="G401"/>
      <c r="H401"/>
      <c r="I401"/>
      <c r="J401"/>
      <c r="K401"/>
      <c r="L401"/>
      <c r="M401"/>
      <c r="N401"/>
      <c r="O401"/>
      <c r="P401"/>
      <c r="Q401"/>
      <c r="R401"/>
      <c r="S401"/>
      <c r="T401"/>
      <c r="U401"/>
      <c r="V401"/>
      <c r="W401"/>
      <c r="X401"/>
      <c r="Y401"/>
      <c r="Z401"/>
      <c r="AA401"/>
      <c r="AB401"/>
      <c r="AC401"/>
      <c r="AD401"/>
      <c r="AE401"/>
      <c r="AF401"/>
      <c r="AG401"/>
      <c r="AH401"/>
      <c r="AI401"/>
    </row>
    <row r="402" spans="1:35" s="33" customFormat="1" ht="15.75">
      <c r="A402" s="175"/>
      <c r="B402" s="163"/>
      <c r="C402" s="123"/>
      <c r="D402" s="123"/>
      <c r="E402" s="32"/>
      <c r="F402"/>
      <c r="G402"/>
      <c r="H402"/>
      <c r="I402"/>
      <c r="J402"/>
      <c r="K402"/>
      <c r="L402"/>
      <c r="M402"/>
      <c r="N402"/>
      <c r="O402"/>
      <c r="P402"/>
      <c r="Q402"/>
      <c r="R402"/>
      <c r="S402"/>
      <c r="T402"/>
      <c r="U402"/>
      <c r="V402"/>
      <c r="W402"/>
      <c r="X402"/>
      <c r="Y402"/>
      <c r="Z402"/>
      <c r="AA402"/>
      <c r="AB402"/>
      <c r="AC402"/>
      <c r="AD402"/>
      <c r="AE402"/>
      <c r="AF402"/>
      <c r="AG402"/>
      <c r="AH402"/>
      <c r="AI402"/>
    </row>
    <row r="403" spans="1:35" s="33" customFormat="1" ht="15.75">
      <c r="A403" s="175"/>
      <c r="B403" s="163"/>
      <c r="C403" s="123"/>
      <c r="D403" s="123"/>
      <c r="E403" s="32"/>
      <c r="F403"/>
      <c r="G403"/>
      <c r="H403"/>
      <c r="I403"/>
      <c r="J403"/>
      <c r="K403"/>
      <c r="L403"/>
      <c r="M403"/>
      <c r="N403"/>
      <c r="O403"/>
      <c r="P403"/>
      <c r="Q403"/>
      <c r="R403"/>
      <c r="S403"/>
      <c r="T403"/>
      <c r="U403"/>
      <c r="V403"/>
      <c r="W403"/>
      <c r="X403"/>
      <c r="Y403"/>
      <c r="Z403"/>
      <c r="AA403"/>
      <c r="AB403"/>
      <c r="AC403"/>
      <c r="AD403"/>
      <c r="AE403"/>
      <c r="AF403"/>
      <c r="AG403"/>
      <c r="AH403"/>
      <c r="AI403"/>
    </row>
    <row r="404" spans="1:35" s="33" customFormat="1" ht="15.75">
      <c r="A404" s="175"/>
      <c r="B404" s="163"/>
      <c r="C404" s="123"/>
      <c r="D404" s="123"/>
      <c r="E404" s="32"/>
      <c r="F404"/>
      <c r="G404"/>
      <c r="H404"/>
      <c r="I404"/>
      <c r="J404"/>
      <c r="K404"/>
      <c r="L404"/>
      <c r="M404"/>
      <c r="N404"/>
      <c r="O404"/>
      <c r="P404"/>
      <c r="Q404"/>
      <c r="R404"/>
      <c r="S404"/>
      <c r="T404"/>
      <c r="U404"/>
      <c r="V404"/>
      <c r="W404"/>
      <c r="X404"/>
      <c r="Y404"/>
      <c r="Z404"/>
      <c r="AA404"/>
      <c r="AB404"/>
      <c r="AC404"/>
      <c r="AD404"/>
      <c r="AE404"/>
      <c r="AF404"/>
      <c r="AG404"/>
      <c r="AH404"/>
      <c r="AI404"/>
    </row>
    <row r="405" spans="1:35" s="33" customFormat="1" ht="15.75">
      <c r="A405" s="175"/>
      <c r="B405" s="163"/>
      <c r="C405" s="123"/>
      <c r="D405" s="123"/>
      <c r="E405" s="32"/>
      <c r="F405"/>
      <c r="G405"/>
      <c r="H405"/>
      <c r="I405"/>
      <c r="J405"/>
      <c r="K405"/>
      <c r="L405"/>
      <c r="M405"/>
      <c r="N405"/>
      <c r="O405"/>
      <c r="P405"/>
      <c r="Q405"/>
      <c r="R405"/>
      <c r="S405"/>
      <c r="T405"/>
      <c r="U405"/>
      <c r="V405"/>
      <c r="W405"/>
      <c r="X405"/>
      <c r="Y405"/>
      <c r="Z405"/>
      <c r="AA405"/>
      <c r="AB405"/>
      <c r="AC405"/>
      <c r="AD405"/>
      <c r="AE405"/>
      <c r="AF405"/>
      <c r="AG405"/>
      <c r="AH405"/>
      <c r="AI405"/>
    </row>
    <row r="406" spans="1:35" s="33" customFormat="1" ht="15.75">
      <c r="A406" s="175"/>
      <c r="B406" s="163"/>
      <c r="C406" s="123"/>
      <c r="D406" s="123"/>
      <c r="E406" s="32"/>
      <c r="F406"/>
      <c r="G406"/>
      <c r="H406"/>
      <c r="I406"/>
      <c r="J406"/>
      <c r="K406"/>
      <c r="L406"/>
      <c r="M406"/>
      <c r="N406"/>
      <c r="O406"/>
      <c r="P406"/>
      <c r="Q406"/>
      <c r="R406"/>
      <c r="S406"/>
      <c r="T406"/>
      <c r="U406"/>
      <c r="V406"/>
      <c r="W406"/>
      <c r="X406"/>
      <c r="Y406"/>
      <c r="Z406"/>
      <c r="AA406"/>
      <c r="AB406"/>
      <c r="AC406"/>
      <c r="AD406"/>
      <c r="AE406"/>
      <c r="AF406"/>
      <c r="AG406"/>
      <c r="AH406"/>
      <c r="AI406"/>
    </row>
    <row r="407" spans="1:35" s="33" customFormat="1" ht="15.75">
      <c r="A407" s="175"/>
      <c r="B407" s="163"/>
      <c r="C407" s="123"/>
      <c r="D407" s="123"/>
      <c r="E407" s="32"/>
      <c r="F407"/>
      <c r="G407"/>
      <c r="H407"/>
      <c r="I407"/>
      <c r="J407"/>
      <c r="K407"/>
      <c r="L407"/>
      <c r="M407"/>
      <c r="N407"/>
      <c r="O407"/>
      <c r="P407"/>
      <c r="Q407"/>
      <c r="R407"/>
      <c r="S407"/>
      <c r="T407"/>
      <c r="U407"/>
      <c r="V407"/>
      <c r="W407"/>
      <c r="X407"/>
      <c r="Y407"/>
      <c r="Z407"/>
      <c r="AA407"/>
      <c r="AB407"/>
      <c r="AC407"/>
      <c r="AD407"/>
      <c r="AE407"/>
      <c r="AF407"/>
      <c r="AG407"/>
      <c r="AH407"/>
      <c r="AI407"/>
    </row>
    <row r="408" spans="1:35" s="33" customFormat="1" ht="15.75">
      <c r="A408" s="175"/>
      <c r="B408" s="163"/>
      <c r="C408" s="123"/>
      <c r="D408" s="123"/>
      <c r="E408" s="32"/>
      <c r="F408"/>
      <c r="G408"/>
      <c r="H408"/>
      <c r="I408"/>
      <c r="J408"/>
      <c r="K408"/>
      <c r="L408"/>
      <c r="M408"/>
      <c r="N408"/>
      <c r="O408"/>
      <c r="P408"/>
      <c r="Q408"/>
      <c r="R408"/>
      <c r="S408"/>
      <c r="T408"/>
      <c r="U408"/>
      <c r="V408"/>
      <c r="W408"/>
      <c r="X408"/>
      <c r="Y408"/>
      <c r="Z408"/>
      <c r="AA408"/>
      <c r="AB408"/>
      <c r="AC408"/>
      <c r="AD408"/>
      <c r="AE408"/>
      <c r="AF408"/>
      <c r="AG408"/>
      <c r="AH408"/>
      <c r="AI408"/>
    </row>
    <row r="409" spans="1:35" s="33" customFormat="1" ht="15.75">
      <c r="A409" s="175"/>
      <c r="B409" s="163"/>
      <c r="C409" s="123"/>
      <c r="D409" s="123"/>
      <c r="E409" s="32"/>
      <c r="F409"/>
      <c r="G409"/>
      <c r="H409"/>
      <c r="I409"/>
      <c r="J409"/>
      <c r="K409"/>
      <c r="L409"/>
      <c r="M409"/>
      <c r="N409"/>
      <c r="O409"/>
      <c r="P409"/>
      <c r="Q409"/>
      <c r="R409"/>
      <c r="S409"/>
      <c r="T409"/>
      <c r="U409"/>
      <c r="V409"/>
      <c r="W409"/>
      <c r="X409"/>
      <c r="Y409"/>
      <c r="Z409"/>
      <c r="AA409"/>
      <c r="AB409"/>
      <c r="AC409"/>
      <c r="AD409"/>
      <c r="AE409"/>
      <c r="AF409"/>
      <c r="AG409"/>
      <c r="AH409"/>
      <c r="AI409"/>
    </row>
    <row r="410" spans="1:35" s="33" customFormat="1" ht="15.75">
      <c r="A410" s="175"/>
      <c r="B410" s="163"/>
      <c r="C410" s="123"/>
      <c r="D410" s="123"/>
      <c r="E410" s="32"/>
      <c r="F410"/>
      <c r="G410"/>
      <c r="H410"/>
      <c r="I410"/>
      <c r="J410"/>
      <c r="K410"/>
      <c r="L410"/>
      <c r="M410"/>
      <c r="N410"/>
      <c r="O410"/>
      <c r="P410"/>
      <c r="Q410"/>
      <c r="R410"/>
      <c r="S410"/>
      <c r="T410"/>
      <c r="U410"/>
      <c r="V410"/>
      <c r="W410"/>
      <c r="X410"/>
      <c r="Y410"/>
      <c r="Z410"/>
      <c r="AA410"/>
      <c r="AB410"/>
      <c r="AC410"/>
      <c r="AD410"/>
      <c r="AE410"/>
      <c r="AF410"/>
      <c r="AG410"/>
      <c r="AH410"/>
      <c r="AI410"/>
    </row>
    <row r="411" spans="1:35" s="33" customFormat="1" ht="15.75">
      <c r="A411" s="175"/>
      <c r="B411" s="163"/>
      <c r="C411" s="123"/>
      <c r="D411" s="123"/>
      <c r="E411" s="32"/>
      <c r="F411"/>
      <c r="G411"/>
      <c r="H411"/>
      <c r="I411"/>
      <c r="J411"/>
      <c r="K411"/>
      <c r="L411"/>
      <c r="M411"/>
      <c r="N411"/>
      <c r="O411"/>
      <c r="P411"/>
      <c r="Q411"/>
      <c r="R411"/>
      <c r="S411"/>
      <c r="T411"/>
      <c r="U411"/>
      <c r="V411"/>
      <c r="W411"/>
      <c r="X411"/>
      <c r="Y411"/>
      <c r="Z411"/>
      <c r="AA411"/>
      <c r="AB411"/>
      <c r="AC411"/>
      <c r="AD411"/>
      <c r="AE411"/>
      <c r="AF411"/>
      <c r="AG411"/>
      <c r="AH411"/>
      <c r="AI411"/>
    </row>
    <row r="412" spans="1:35" s="33" customFormat="1" ht="15.75">
      <c r="A412" s="175"/>
      <c r="B412" s="163"/>
      <c r="C412" s="123"/>
      <c r="D412" s="123"/>
      <c r="E412" s="32"/>
      <c r="F412"/>
      <c r="G412"/>
      <c r="H412"/>
      <c r="I412"/>
      <c r="J412"/>
      <c r="K412"/>
      <c r="L412"/>
      <c r="M412"/>
      <c r="N412"/>
      <c r="O412"/>
      <c r="P412"/>
      <c r="Q412"/>
      <c r="R412"/>
      <c r="S412"/>
      <c r="T412"/>
      <c r="U412"/>
      <c r="V412"/>
      <c r="W412"/>
      <c r="X412"/>
      <c r="Y412"/>
      <c r="Z412"/>
      <c r="AA412"/>
      <c r="AB412"/>
      <c r="AC412"/>
      <c r="AD412"/>
      <c r="AE412"/>
      <c r="AF412"/>
      <c r="AG412"/>
      <c r="AH412"/>
      <c r="AI412"/>
    </row>
    <row r="413" spans="1:35" s="33" customFormat="1" ht="15.75">
      <c r="A413" s="175"/>
      <c r="B413" s="163"/>
      <c r="C413" s="123"/>
      <c r="D413" s="123"/>
      <c r="E413" s="32"/>
      <c r="F413"/>
      <c r="G413"/>
      <c r="H413"/>
      <c r="I413"/>
      <c r="J413"/>
      <c r="K413"/>
      <c r="L413"/>
      <c r="M413"/>
      <c r="N413"/>
      <c r="O413"/>
      <c r="P413"/>
      <c r="Q413"/>
      <c r="R413"/>
      <c r="S413"/>
      <c r="T413"/>
      <c r="U413"/>
      <c r="V413"/>
      <c r="W413"/>
      <c r="X413"/>
      <c r="Y413"/>
      <c r="Z413"/>
      <c r="AA413"/>
      <c r="AB413"/>
      <c r="AC413"/>
      <c r="AD413"/>
      <c r="AE413"/>
      <c r="AF413"/>
      <c r="AG413"/>
      <c r="AH413"/>
      <c r="AI413"/>
    </row>
    <row r="414" spans="1:35" s="33" customFormat="1" ht="15.75">
      <c r="A414" s="175"/>
      <c r="B414" s="163"/>
      <c r="C414" s="123"/>
      <c r="D414" s="123"/>
      <c r="E414" s="32"/>
      <c r="F414"/>
      <c r="G414"/>
      <c r="H414"/>
      <c r="I414"/>
      <c r="J414"/>
      <c r="K414"/>
      <c r="L414"/>
      <c r="M414"/>
      <c r="N414"/>
      <c r="O414"/>
      <c r="P414"/>
      <c r="Q414"/>
      <c r="R414"/>
      <c r="S414"/>
      <c r="T414"/>
      <c r="U414"/>
      <c r="V414"/>
      <c r="W414"/>
      <c r="X414"/>
      <c r="Y414"/>
      <c r="Z414"/>
      <c r="AA414"/>
      <c r="AB414"/>
      <c r="AC414"/>
      <c r="AD414"/>
      <c r="AE414"/>
      <c r="AF414"/>
      <c r="AG414"/>
      <c r="AH414"/>
      <c r="AI414"/>
    </row>
    <row r="415" spans="1:35" s="33" customFormat="1" ht="15.75">
      <c r="A415" s="175"/>
      <c r="B415" s="163"/>
      <c r="C415" s="123"/>
      <c r="D415" s="123"/>
      <c r="E415" s="32"/>
      <c r="F415"/>
      <c r="G415"/>
      <c r="H415"/>
      <c r="I415"/>
      <c r="J415"/>
      <c r="K415"/>
      <c r="L415"/>
      <c r="M415"/>
      <c r="N415"/>
      <c r="O415"/>
      <c r="P415"/>
      <c r="Q415"/>
      <c r="R415"/>
      <c r="S415"/>
      <c r="T415"/>
      <c r="U415"/>
      <c r="V415"/>
      <c r="W415"/>
      <c r="X415"/>
      <c r="Y415"/>
      <c r="Z415"/>
      <c r="AA415"/>
      <c r="AB415"/>
      <c r="AC415"/>
      <c r="AD415"/>
      <c r="AE415"/>
      <c r="AF415"/>
      <c r="AG415"/>
      <c r="AH415"/>
      <c r="AI415"/>
    </row>
    <row r="416" spans="1:35" s="33" customFormat="1" ht="15.75">
      <c r="A416" s="175"/>
      <c r="B416" s="163"/>
      <c r="C416" s="123"/>
      <c r="D416" s="123"/>
      <c r="E416" s="32"/>
      <c r="F416"/>
      <c r="G416"/>
      <c r="H416"/>
      <c r="I416"/>
      <c r="J416"/>
      <c r="K416"/>
      <c r="L416"/>
      <c r="M416"/>
      <c r="N416"/>
      <c r="O416"/>
      <c r="P416"/>
      <c r="Q416"/>
      <c r="R416"/>
      <c r="S416"/>
      <c r="T416"/>
      <c r="U416"/>
      <c r="V416"/>
      <c r="W416"/>
      <c r="X416"/>
      <c r="Y416"/>
      <c r="Z416"/>
      <c r="AA416"/>
      <c r="AB416"/>
      <c r="AC416"/>
      <c r="AD416"/>
      <c r="AE416"/>
      <c r="AF416"/>
      <c r="AG416"/>
      <c r="AH416"/>
      <c r="AI416"/>
    </row>
    <row r="417" spans="1:35" s="33" customFormat="1" ht="15.75">
      <c r="A417" s="175"/>
      <c r="B417" s="163"/>
      <c r="C417" s="123"/>
      <c r="D417" s="123"/>
      <c r="E417" s="32"/>
      <c r="F417"/>
      <c r="G417"/>
      <c r="H417"/>
      <c r="I417"/>
      <c r="J417"/>
      <c r="K417"/>
      <c r="L417"/>
      <c r="M417"/>
      <c r="N417"/>
      <c r="O417"/>
      <c r="P417"/>
      <c r="Q417"/>
      <c r="R417"/>
      <c r="S417"/>
      <c r="T417"/>
      <c r="U417"/>
      <c r="V417"/>
      <c r="W417"/>
      <c r="X417"/>
      <c r="Y417"/>
      <c r="Z417"/>
      <c r="AA417"/>
      <c r="AB417"/>
      <c r="AC417"/>
      <c r="AD417"/>
      <c r="AE417"/>
      <c r="AF417"/>
      <c r="AG417"/>
      <c r="AH417"/>
      <c r="AI417"/>
    </row>
    <row r="418" spans="1:35" s="33" customFormat="1" ht="15.75">
      <c r="A418" s="175"/>
      <c r="B418" s="163"/>
      <c r="C418" s="123"/>
      <c r="D418" s="123"/>
      <c r="E418" s="32"/>
      <c r="F418"/>
      <c r="G418"/>
      <c r="H418"/>
      <c r="I418"/>
      <c r="J418"/>
      <c r="K418"/>
      <c r="L418"/>
      <c r="M418"/>
      <c r="N418"/>
      <c r="O418"/>
      <c r="P418"/>
      <c r="Q418"/>
      <c r="R418"/>
      <c r="S418"/>
      <c r="T418"/>
      <c r="U418"/>
      <c r="V418"/>
      <c r="W418"/>
      <c r="X418"/>
      <c r="Y418"/>
      <c r="Z418"/>
      <c r="AA418"/>
      <c r="AB418"/>
      <c r="AC418"/>
      <c r="AD418"/>
      <c r="AE418"/>
      <c r="AF418"/>
      <c r="AG418"/>
      <c r="AH418"/>
      <c r="AI418"/>
    </row>
    <row r="419" spans="1:35" s="33" customFormat="1" ht="15.75">
      <c r="A419" s="175"/>
      <c r="B419" s="163"/>
      <c r="C419" s="123"/>
      <c r="D419" s="123"/>
      <c r="E419" s="32"/>
      <c r="F419"/>
      <c r="G419"/>
      <c r="H419"/>
      <c r="I419"/>
      <c r="J419"/>
      <c r="K419"/>
      <c r="L419"/>
      <c r="M419"/>
      <c r="N419"/>
      <c r="O419"/>
      <c r="P419"/>
      <c r="Q419"/>
      <c r="R419"/>
      <c r="S419"/>
      <c r="T419"/>
      <c r="U419"/>
      <c r="V419"/>
      <c r="W419"/>
      <c r="X419"/>
      <c r="Y419"/>
      <c r="Z419"/>
      <c r="AA419"/>
      <c r="AB419"/>
      <c r="AC419"/>
      <c r="AD419"/>
      <c r="AE419"/>
      <c r="AF419"/>
      <c r="AG419"/>
      <c r="AH419"/>
      <c r="AI419"/>
    </row>
    <row r="420" spans="1:35" s="33" customFormat="1" ht="15.75">
      <c r="A420" s="175"/>
      <c r="B420" s="163"/>
      <c r="C420" s="123"/>
      <c r="D420" s="123"/>
      <c r="E420" s="32"/>
      <c r="F420"/>
      <c r="G420"/>
      <c r="H420"/>
      <c r="I420"/>
      <c r="J420"/>
      <c r="K420"/>
      <c r="L420"/>
      <c r="M420"/>
      <c r="N420"/>
      <c r="O420"/>
      <c r="P420"/>
      <c r="Q420"/>
      <c r="R420"/>
      <c r="S420"/>
      <c r="T420"/>
      <c r="U420"/>
      <c r="V420"/>
      <c r="W420"/>
      <c r="X420"/>
      <c r="Y420"/>
      <c r="Z420"/>
      <c r="AA420"/>
      <c r="AB420"/>
      <c r="AC420"/>
      <c r="AD420"/>
      <c r="AE420"/>
      <c r="AF420"/>
      <c r="AG420"/>
      <c r="AH420"/>
      <c r="AI420"/>
    </row>
    <row r="421" spans="1:35" s="33" customFormat="1" ht="15.75">
      <c r="A421" s="175"/>
      <c r="B421" s="163"/>
      <c r="C421" s="123"/>
      <c r="D421" s="123"/>
      <c r="E421" s="32"/>
      <c r="F421"/>
      <c r="G421"/>
      <c r="H421"/>
      <c r="I421"/>
      <c r="J421"/>
      <c r="K421"/>
      <c r="L421"/>
      <c r="M421"/>
      <c r="N421"/>
      <c r="O421"/>
      <c r="P421"/>
      <c r="Q421"/>
      <c r="R421"/>
      <c r="S421"/>
      <c r="T421"/>
      <c r="U421"/>
      <c r="V421"/>
      <c r="W421"/>
      <c r="X421"/>
      <c r="Y421"/>
      <c r="Z421"/>
      <c r="AA421"/>
      <c r="AB421"/>
      <c r="AC421"/>
      <c r="AD421"/>
      <c r="AE421"/>
      <c r="AF421"/>
      <c r="AG421"/>
      <c r="AH421"/>
      <c r="AI421"/>
    </row>
    <row r="422" spans="1:35" s="33" customFormat="1" ht="15.75">
      <c r="A422" s="175"/>
      <c r="B422" s="163"/>
      <c r="C422" s="123"/>
      <c r="D422" s="123"/>
      <c r="E422" s="32"/>
      <c r="F422"/>
      <c r="G422"/>
      <c r="H422"/>
      <c r="I422"/>
      <c r="J422"/>
      <c r="K422"/>
      <c r="L422"/>
      <c r="M422"/>
      <c r="N422"/>
      <c r="O422"/>
      <c r="P422"/>
      <c r="Q422"/>
      <c r="R422"/>
      <c r="S422"/>
      <c r="T422"/>
      <c r="U422"/>
      <c r="V422"/>
      <c r="W422"/>
      <c r="X422"/>
      <c r="Y422"/>
      <c r="Z422"/>
      <c r="AA422"/>
      <c r="AB422"/>
      <c r="AC422"/>
      <c r="AD422"/>
      <c r="AE422"/>
      <c r="AF422"/>
      <c r="AG422"/>
      <c r="AH422"/>
      <c r="AI422"/>
    </row>
    <row r="423" spans="1:35" s="33" customFormat="1" ht="15.75">
      <c r="A423" s="175"/>
      <c r="B423" s="163"/>
      <c r="C423" s="123"/>
      <c r="D423" s="123"/>
      <c r="E423" s="32"/>
      <c r="F423"/>
      <c r="G423"/>
      <c r="H423"/>
      <c r="I423"/>
      <c r="J423"/>
      <c r="K423"/>
      <c r="L423"/>
      <c r="M423"/>
      <c r="N423"/>
      <c r="O423"/>
      <c r="P423"/>
      <c r="Q423"/>
      <c r="R423"/>
      <c r="S423"/>
      <c r="T423"/>
      <c r="U423"/>
      <c r="V423"/>
      <c r="W423"/>
      <c r="X423"/>
      <c r="Y423"/>
      <c r="Z423"/>
      <c r="AA423"/>
      <c r="AB423"/>
      <c r="AC423"/>
      <c r="AD423"/>
      <c r="AE423"/>
      <c r="AF423"/>
      <c r="AG423"/>
      <c r="AH423"/>
      <c r="AI423"/>
    </row>
    <row r="424" spans="1:35" s="33" customFormat="1" ht="15.75">
      <c r="A424" s="175"/>
      <c r="B424" s="163"/>
      <c r="C424" s="123"/>
      <c r="D424" s="123"/>
      <c r="E424" s="32"/>
      <c r="F424"/>
      <c r="G424"/>
      <c r="H424"/>
      <c r="I424"/>
      <c r="J424"/>
      <c r="K424"/>
      <c r="L424"/>
      <c r="M424"/>
      <c r="N424"/>
      <c r="O424"/>
      <c r="P424"/>
      <c r="Q424"/>
      <c r="R424"/>
      <c r="S424"/>
      <c r="T424"/>
      <c r="U424"/>
      <c r="V424"/>
      <c r="W424"/>
      <c r="X424"/>
      <c r="Y424"/>
      <c r="Z424"/>
      <c r="AA424"/>
      <c r="AB424"/>
      <c r="AC424"/>
      <c r="AD424"/>
      <c r="AE424"/>
      <c r="AF424"/>
      <c r="AG424"/>
      <c r="AH424"/>
      <c r="AI424"/>
    </row>
    <row r="425" spans="1:35" s="33" customFormat="1" ht="15.75">
      <c r="A425" s="175"/>
      <c r="B425" s="163"/>
      <c r="C425" s="123"/>
      <c r="D425" s="123"/>
      <c r="E425" s="32"/>
      <c r="F425"/>
      <c r="G425"/>
      <c r="H425"/>
      <c r="I425"/>
      <c r="J425"/>
      <c r="K425"/>
      <c r="L425"/>
      <c r="M425"/>
      <c r="N425"/>
      <c r="O425"/>
      <c r="P425"/>
      <c r="Q425"/>
      <c r="R425"/>
      <c r="S425"/>
      <c r="T425"/>
      <c r="U425"/>
      <c r="V425"/>
      <c r="W425"/>
      <c r="X425"/>
      <c r="Y425"/>
      <c r="Z425"/>
      <c r="AA425"/>
      <c r="AB425"/>
      <c r="AC425"/>
      <c r="AD425"/>
      <c r="AE425"/>
      <c r="AF425"/>
      <c r="AG425"/>
      <c r="AH425"/>
      <c r="AI425"/>
    </row>
    <row r="426" spans="1:35" s="33" customFormat="1" ht="15.75">
      <c r="A426" s="175"/>
      <c r="B426" s="163"/>
      <c r="C426" s="123"/>
      <c r="D426" s="123"/>
      <c r="E426" s="32"/>
      <c r="F426"/>
      <c r="G426"/>
      <c r="H426"/>
      <c r="I426"/>
      <c r="J426"/>
      <c r="K426"/>
      <c r="L426"/>
      <c r="M426"/>
      <c r="N426"/>
      <c r="O426"/>
      <c r="P426"/>
      <c r="Q426"/>
      <c r="R426"/>
      <c r="S426"/>
      <c r="T426"/>
      <c r="U426"/>
      <c r="V426"/>
      <c r="W426"/>
      <c r="X426"/>
      <c r="Y426"/>
      <c r="Z426"/>
      <c r="AA426"/>
      <c r="AB426"/>
      <c r="AC426"/>
      <c r="AD426"/>
      <c r="AE426"/>
      <c r="AF426"/>
      <c r="AG426"/>
      <c r="AH426"/>
      <c r="AI426"/>
    </row>
    <row r="427" spans="1:35" s="33" customFormat="1" ht="15.75">
      <c r="A427" s="175"/>
      <c r="B427" s="163"/>
      <c r="C427" s="123"/>
      <c r="D427" s="123"/>
      <c r="E427" s="32"/>
      <c r="F427"/>
      <c r="G427"/>
      <c r="H427"/>
      <c r="I427"/>
      <c r="J427"/>
      <c r="K427"/>
      <c r="L427"/>
      <c r="M427"/>
      <c r="N427"/>
      <c r="O427"/>
      <c r="P427"/>
      <c r="Q427"/>
      <c r="R427"/>
      <c r="S427"/>
      <c r="T427"/>
      <c r="U427"/>
      <c r="V427"/>
      <c r="W427"/>
      <c r="X427"/>
      <c r="Y427"/>
      <c r="Z427"/>
      <c r="AA427"/>
      <c r="AB427"/>
      <c r="AC427"/>
      <c r="AD427"/>
      <c r="AE427"/>
      <c r="AF427"/>
      <c r="AG427"/>
      <c r="AH427"/>
      <c r="AI427"/>
    </row>
    <row r="428" spans="1:35" s="33" customFormat="1" ht="15.75">
      <c r="A428" s="175"/>
      <c r="B428" s="163"/>
      <c r="C428" s="123"/>
      <c r="D428" s="123"/>
      <c r="E428" s="32"/>
      <c r="F428"/>
      <c r="G428"/>
      <c r="H428"/>
      <c r="I428"/>
      <c r="J428"/>
      <c r="K428"/>
      <c r="L428"/>
      <c r="M428"/>
      <c r="N428"/>
      <c r="O428"/>
      <c r="P428"/>
      <c r="Q428"/>
      <c r="R428"/>
      <c r="S428"/>
      <c r="T428"/>
      <c r="U428"/>
      <c r="V428"/>
      <c r="W428"/>
      <c r="X428"/>
      <c r="Y428"/>
      <c r="Z428"/>
      <c r="AA428"/>
      <c r="AB428"/>
      <c r="AC428"/>
      <c r="AD428"/>
      <c r="AE428"/>
      <c r="AF428"/>
      <c r="AG428"/>
      <c r="AH428"/>
      <c r="AI428"/>
    </row>
    <row r="429" spans="1:35" s="33" customFormat="1" ht="15.75">
      <c r="A429" s="175"/>
      <c r="B429" s="163"/>
      <c r="C429" s="123"/>
      <c r="D429" s="123"/>
      <c r="E429" s="32"/>
      <c r="F429"/>
      <c r="G429"/>
      <c r="H429"/>
      <c r="I429"/>
      <c r="J429"/>
      <c r="K429"/>
      <c r="L429"/>
      <c r="M429"/>
      <c r="N429"/>
      <c r="O429"/>
      <c r="P429"/>
      <c r="Q429"/>
      <c r="R429"/>
      <c r="S429"/>
      <c r="T429"/>
      <c r="U429"/>
      <c r="V429"/>
      <c r="W429"/>
      <c r="X429"/>
      <c r="Y429"/>
      <c r="Z429"/>
      <c r="AA429"/>
      <c r="AB429"/>
      <c r="AC429"/>
      <c r="AD429"/>
      <c r="AE429"/>
      <c r="AF429"/>
      <c r="AG429"/>
      <c r="AH429"/>
      <c r="AI429"/>
    </row>
    <row r="430" spans="1:35" s="33" customFormat="1" ht="15.75">
      <c r="A430" s="175"/>
      <c r="B430" s="163"/>
      <c r="C430" s="123"/>
      <c r="D430" s="123"/>
      <c r="E430" s="32"/>
      <c r="F430"/>
      <c r="G430"/>
      <c r="H430"/>
      <c r="I430"/>
      <c r="J430"/>
      <c r="K430"/>
      <c r="L430"/>
      <c r="M430"/>
      <c r="N430"/>
      <c r="O430"/>
      <c r="P430"/>
      <c r="Q430"/>
      <c r="R430"/>
      <c r="S430"/>
      <c r="T430"/>
      <c r="U430"/>
      <c r="V430"/>
      <c r="W430"/>
      <c r="X430"/>
      <c r="Y430"/>
      <c r="Z430"/>
      <c r="AA430"/>
      <c r="AB430"/>
      <c r="AC430"/>
      <c r="AD430"/>
      <c r="AE430"/>
      <c r="AF430"/>
      <c r="AG430"/>
      <c r="AH430"/>
      <c r="AI430"/>
    </row>
    <row r="431" spans="1:35" s="33" customFormat="1" ht="15.75">
      <c r="A431" s="175"/>
      <c r="B431" s="163"/>
      <c r="C431" s="123"/>
      <c r="D431" s="123"/>
      <c r="E431" s="32"/>
      <c r="F431"/>
      <c r="G431"/>
      <c r="H431"/>
      <c r="I431"/>
      <c r="J431"/>
      <c r="K431"/>
      <c r="L431"/>
      <c r="M431"/>
      <c r="N431"/>
      <c r="O431"/>
      <c r="P431"/>
      <c r="Q431"/>
      <c r="R431"/>
      <c r="S431"/>
      <c r="T431"/>
      <c r="U431"/>
      <c r="V431"/>
      <c r="W431"/>
      <c r="X431"/>
      <c r="Y431"/>
      <c r="Z431"/>
      <c r="AA431"/>
      <c r="AB431"/>
      <c r="AC431"/>
      <c r="AD431"/>
      <c r="AE431"/>
      <c r="AF431"/>
      <c r="AG431"/>
      <c r="AH431"/>
      <c r="AI431"/>
    </row>
    <row r="432" spans="1:35" s="33" customFormat="1" ht="15.75">
      <c r="A432" s="175"/>
      <c r="B432" s="163"/>
      <c r="C432" s="123"/>
      <c r="D432" s="123"/>
      <c r="E432" s="32"/>
      <c r="F432"/>
      <c r="G432"/>
      <c r="H432"/>
      <c r="I432"/>
      <c r="J432"/>
      <c r="K432"/>
      <c r="L432"/>
      <c r="M432"/>
      <c r="N432"/>
      <c r="O432"/>
      <c r="P432"/>
      <c r="Q432"/>
      <c r="R432"/>
      <c r="S432"/>
      <c r="T432"/>
      <c r="U432"/>
      <c r="V432"/>
      <c r="W432"/>
      <c r="X432"/>
      <c r="Y432"/>
      <c r="Z432"/>
      <c r="AA432"/>
      <c r="AB432"/>
      <c r="AC432"/>
      <c r="AD432"/>
      <c r="AE432"/>
      <c r="AF432"/>
      <c r="AG432"/>
      <c r="AH432"/>
      <c r="AI432"/>
    </row>
    <row r="433" spans="1:35" s="33" customFormat="1" ht="15.75">
      <c r="A433" s="175"/>
      <c r="B433" s="163"/>
      <c r="C433" s="123"/>
      <c r="D433" s="123"/>
      <c r="E433" s="32"/>
      <c r="F433"/>
      <c r="G433"/>
      <c r="H433"/>
      <c r="I433"/>
      <c r="J433"/>
      <c r="K433"/>
      <c r="L433"/>
      <c r="M433"/>
      <c r="N433"/>
      <c r="O433"/>
      <c r="P433"/>
      <c r="Q433"/>
      <c r="R433"/>
      <c r="S433"/>
      <c r="T433"/>
      <c r="U433"/>
      <c r="V433"/>
      <c r="W433"/>
      <c r="X433"/>
      <c r="Y433"/>
      <c r="Z433"/>
      <c r="AA433"/>
      <c r="AB433"/>
      <c r="AC433"/>
      <c r="AD433"/>
      <c r="AE433"/>
      <c r="AF433"/>
      <c r="AG433"/>
      <c r="AH433"/>
      <c r="AI433"/>
    </row>
    <row r="434" spans="1:35" s="33" customFormat="1" ht="15.75">
      <c r="A434" s="175"/>
      <c r="B434" s="163"/>
      <c r="C434" s="123"/>
      <c r="D434" s="123"/>
      <c r="E434" s="32"/>
      <c r="F434"/>
      <c r="G434"/>
      <c r="H434"/>
      <c r="I434"/>
      <c r="J434"/>
      <c r="K434"/>
      <c r="L434"/>
      <c r="M434"/>
      <c r="N434"/>
      <c r="O434"/>
      <c r="P434"/>
      <c r="Q434"/>
      <c r="R434"/>
      <c r="S434"/>
      <c r="T434"/>
      <c r="U434"/>
      <c r="V434"/>
      <c r="W434"/>
      <c r="X434"/>
      <c r="Y434"/>
      <c r="Z434"/>
      <c r="AA434"/>
      <c r="AB434"/>
      <c r="AC434"/>
      <c r="AD434"/>
      <c r="AE434"/>
      <c r="AF434"/>
      <c r="AG434"/>
      <c r="AH434"/>
      <c r="AI434"/>
    </row>
    <row r="435" spans="1:35" s="33" customFormat="1" ht="15.75">
      <c r="A435" s="175"/>
      <c r="B435" s="163"/>
      <c r="C435" s="123"/>
      <c r="D435" s="123"/>
      <c r="E435" s="32"/>
      <c r="F435"/>
      <c r="G435"/>
      <c r="H435"/>
      <c r="I435"/>
      <c r="J435"/>
      <c r="K435"/>
      <c r="L435"/>
      <c r="M435"/>
      <c r="N435"/>
      <c r="O435"/>
      <c r="P435"/>
      <c r="Q435"/>
      <c r="R435"/>
      <c r="S435"/>
      <c r="T435"/>
      <c r="U435"/>
      <c r="V435"/>
      <c r="W435"/>
      <c r="X435"/>
      <c r="Y435"/>
      <c r="Z435"/>
      <c r="AA435"/>
      <c r="AB435"/>
      <c r="AC435"/>
      <c r="AD435"/>
      <c r="AE435"/>
      <c r="AF435"/>
      <c r="AG435"/>
      <c r="AH435"/>
      <c r="AI435"/>
    </row>
    <row r="436" spans="1:35" s="33" customFormat="1" ht="15.75">
      <c r="A436" s="175"/>
      <c r="B436" s="163"/>
      <c r="C436" s="123"/>
      <c r="D436" s="123"/>
      <c r="E436" s="32"/>
      <c r="F436"/>
      <c r="G436"/>
      <c r="H436"/>
      <c r="I436"/>
      <c r="J436"/>
      <c r="K436"/>
      <c r="L436"/>
      <c r="M436"/>
      <c r="N436"/>
      <c r="O436"/>
      <c r="P436"/>
      <c r="Q436"/>
      <c r="R436"/>
      <c r="S436"/>
      <c r="T436"/>
      <c r="U436"/>
      <c r="V436"/>
      <c r="W436"/>
      <c r="X436"/>
      <c r="Y436"/>
      <c r="Z436"/>
      <c r="AA436"/>
      <c r="AB436"/>
      <c r="AC436"/>
      <c r="AD436"/>
      <c r="AE436"/>
      <c r="AF436"/>
      <c r="AG436"/>
      <c r="AH436"/>
      <c r="AI436"/>
    </row>
    <row r="437" spans="1:35" s="33" customFormat="1" ht="15.75">
      <c r="A437" s="175"/>
      <c r="B437" s="163"/>
      <c r="C437" s="123"/>
      <c r="D437" s="123"/>
      <c r="E437" s="32"/>
      <c r="F437"/>
      <c r="G437"/>
      <c r="H437"/>
      <c r="I437"/>
      <c r="J437"/>
      <c r="K437"/>
      <c r="L437"/>
      <c r="M437"/>
      <c r="N437"/>
      <c r="O437"/>
      <c r="P437"/>
      <c r="Q437"/>
      <c r="R437"/>
      <c r="S437"/>
      <c r="T437"/>
      <c r="U437"/>
      <c r="V437"/>
      <c r="W437"/>
      <c r="X437"/>
      <c r="Y437"/>
      <c r="Z437"/>
      <c r="AA437"/>
      <c r="AB437"/>
      <c r="AC437"/>
      <c r="AD437"/>
      <c r="AE437"/>
      <c r="AF437"/>
      <c r="AG437"/>
      <c r="AH437"/>
      <c r="AI437"/>
    </row>
    <row r="438" spans="1:35" s="33" customFormat="1" ht="15.75">
      <c r="A438" s="175"/>
      <c r="B438" s="163"/>
      <c r="C438" s="123"/>
      <c r="D438" s="123"/>
      <c r="E438" s="32"/>
      <c r="F438"/>
      <c r="G438"/>
      <c r="H438"/>
      <c r="I438"/>
      <c r="J438"/>
      <c r="K438"/>
      <c r="L438"/>
      <c r="M438"/>
      <c r="N438"/>
      <c r="O438"/>
      <c r="P438"/>
      <c r="Q438"/>
      <c r="R438"/>
      <c r="S438"/>
      <c r="T438"/>
      <c r="U438"/>
      <c r="V438"/>
      <c r="W438"/>
      <c r="X438"/>
      <c r="Y438"/>
      <c r="Z438"/>
      <c r="AA438"/>
      <c r="AB438"/>
      <c r="AC438"/>
      <c r="AD438"/>
      <c r="AE438"/>
      <c r="AF438"/>
      <c r="AG438"/>
      <c r="AH438"/>
      <c r="AI438"/>
    </row>
    <row r="439" spans="1:35" s="33" customFormat="1" ht="15.75">
      <c r="A439" s="175"/>
      <c r="B439" s="163"/>
      <c r="C439" s="123"/>
      <c r="D439" s="123"/>
      <c r="E439" s="32"/>
      <c r="F439"/>
      <c r="G439"/>
      <c r="H439"/>
      <c r="I439"/>
      <c r="J439"/>
      <c r="K439"/>
      <c r="L439"/>
      <c r="M439"/>
      <c r="N439"/>
      <c r="O439"/>
      <c r="P439"/>
      <c r="Q439"/>
      <c r="R439"/>
      <c r="S439"/>
      <c r="T439"/>
      <c r="U439"/>
      <c r="V439"/>
      <c r="W439"/>
      <c r="X439"/>
      <c r="Y439"/>
      <c r="Z439"/>
      <c r="AA439"/>
      <c r="AB439"/>
      <c r="AC439"/>
      <c r="AD439"/>
      <c r="AE439"/>
      <c r="AF439"/>
      <c r="AG439"/>
      <c r="AH439"/>
      <c r="AI439"/>
    </row>
    <row r="440" spans="1:35" s="33" customFormat="1" ht="15.75">
      <c r="A440" s="175"/>
      <c r="B440" s="163"/>
      <c r="C440" s="123"/>
      <c r="D440" s="123"/>
      <c r="E440" s="32"/>
      <c r="F440"/>
      <c r="G440"/>
      <c r="H440"/>
      <c r="I440"/>
      <c r="J440"/>
      <c r="K440"/>
      <c r="L440"/>
      <c r="M440"/>
      <c r="N440"/>
      <c r="O440"/>
      <c r="P440"/>
      <c r="Q440"/>
      <c r="R440"/>
      <c r="S440"/>
      <c r="T440"/>
      <c r="U440"/>
      <c r="V440"/>
      <c r="W440"/>
      <c r="X440"/>
      <c r="Y440"/>
      <c r="Z440"/>
      <c r="AA440"/>
      <c r="AB440"/>
      <c r="AC440"/>
      <c r="AD440"/>
      <c r="AE440"/>
      <c r="AF440"/>
      <c r="AG440"/>
      <c r="AH440"/>
      <c r="AI440"/>
    </row>
    <row r="441" spans="1:35" s="33" customFormat="1" ht="15.75">
      <c r="A441" s="175"/>
      <c r="B441" s="163"/>
      <c r="C441" s="123"/>
      <c r="D441" s="123"/>
      <c r="E441" s="32"/>
      <c r="F441"/>
      <c r="G441"/>
      <c r="H441"/>
      <c r="I441"/>
      <c r="J441"/>
      <c r="K441"/>
      <c r="L441"/>
      <c r="M441"/>
      <c r="N441"/>
      <c r="O441"/>
      <c r="P441"/>
      <c r="Q441"/>
      <c r="R441"/>
      <c r="S441"/>
      <c r="T441"/>
      <c r="U441"/>
      <c r="V441"/>
      <c r="W441"/>
      <c r="X441"/>
      <c r="Y441"/>
      <c r="Z441"/>
      <c r="AA441"/>
      <c r="AB441"/>
      <c r="AC441"/>
      <c r="AD441"/>
      <c r="AE441"/>
      <c r="AF441"/>
      <c r="AG441"/>
      <c r="AH441"/>
      <c r="AI441"/>
    </row>
    <row r="442" spans="1:35" s="33" customFormat="1" ht="15.75">
      <c r="A442" s="175"/>
      <c r="B442" s="163"/>
      <c r="C442" s="123"/>
      <c r="D442" s="123"/>
      <c r="E442" s="32"/>
      <c r="F442"/>
      <c r="G442"/>
      <c r="H442"/>
      <c r="I442"/>
      <c r="J442"/>
      <c r="K442"/>
      <c r="L442"/>
      <c r="M442"/>
      <c r="N442"/>
      <c r="O442"/>
      <c r="P442"/>
      <c r="Q442"/>
      <c r="R442"/>
      <c r="S442"/>
      <c r="T442"/>
      <c r="U442"/>
      <c r="V442"/>
      <c r="W442"/>
      <c r="X442"/>
      <c r="Y442"/>
      <c r="Z442"/>
      <c r="AA442"/>
      <c r="AB442"/>
      <c r="AC442"/>
      <c r="AD442"/>
      <c r="AE442"/>
      <c r="AF442"/>
      <c r="AG442"/>
      <c r="AH442"/>
      <c r="AI442"/>
    </row>
    <row r="443" spans="1:35" s="33" customFormat="1" ht="15.75">
      <c r="A443" s="175"/>
      <c r="B443" s="163"/>
      <c r="C443" s="123"/>
      <c r="D443" s="123"/>
      <c r="E443" s="32"/>
      <c r="F443"/>
      <c r="G443"/>
      <c r="H443"/>
      <c r="I443"/>
      <c r="J443"/>
      <c r="K443"/>
      <c r="L443"/>
      <c r="M443"/>
      <c r="N443"/>
      <c r="O443"/>
      <c r="P443"/>
      <c r="Q443"/>
      <c r="R443"/>
      <c r="S443"/>
      <c r="T443"/>
      <c r="U443"/>
      <c r="V443"/>
      <c r="W443"/>
      <c r="X443"/>
      <c r="Y443"/>
      <c r="Z443"/>
      <c r="AA443"/>
      <c r="AB443"/>
      <c r="AC443"/>
      <c r="AD443"/>
      <c r="AE443"/>
      <c r="AF443"/>
      <c r="AG443"/>
      <c r="AH443"/>
      <c r="AI443"/>
    </row>
    <row r="444" spans="1:35" s="33" customFormat="1" ht="15.75">
      <c r="A444" s="175"/>
      <c r="B444" s="163"/>
      <c r="C444" s="123"/>
      <c r="D444" s="123"/>
      <c r="E444" s="32"/>
      <c r="F444"/>
      <c r="G444"/>
      <c r="H444"/>
      <c r="I444"/>
      <c r="J444"/>
      <c r="K444"/>
      <c r="L444"/>
      <c r="M444"/>
      <c r="N444"/>
      <c r="O444"/>
      <c r="P444"/>
      <c r="Q444"/>
      <c r="R444"/>
      <c r="S444"/>
      <c r="T444"/>
      <c r="U444"/>
      <c r="V444"/>
      <c r="W444"/>
      <c r="X444"/>
      <c r="Y444"/>
      <c r="Z444"/>
      <c r="AA444"/>
      <c r="AB444"/>
      <c r="AC444"/>
      <c r="AD444"/>
      <c r="AE444"/>
      <c r="AF444"/>
      <c r="AG444"/>
      <c r="AH444"/>
      <c r="AI444"/>
    </row>
    <row r="445" spans="1:35" s="33" customFormat="1" ht="15.75">
      <c r="A445" s="175"/>
      <c r="B445" s="163"/>
      <c r="C445" s="123"/>
      <c r="D445" s="123"/>
      <c r="E445" s="32"/>
      <c r="F445"/>
      <c r="G445"/>
      <c r="H445"/>
      <c r="I445"/>
      <c r="J445"/>
      <c r="K445"/>
      <c r="L445"/>
      <c r="M445"/>
      <c r="N445"/>
      <c r="O445"/>
      <c r="P445"/>
      <c r="Q445"/>
      <c r="R445"/>
      <c r="S445"/>
      <c r="T445"/>
      <c r="U445"/>
      <c r="V445"/>
      <c r="W445"/>
      <c r="X445"/>
      <c r="Y445"/>
      <c r="Z445"/>
      <c r="AA445"/>
      <c r="AB445"/>
      <c r="AC445"/>
      <c r="AD445"/>
      <c r="AE445"/>
      <c r="AF445"/>
      <c r="AG445"/>
      <c r="AH445"/>
      <c r="AI445"/>
    </row>
    <row r="446" spans="1:35" s="33" customFormat="1" ht="15.75">
      <c r="A446" s="175"/>
      <c r="B446" s="163"/>
      <c r="C446" s="123"/>
      <c r="D446" s="123"/>
      <c r="E446" s="32"/>
      <c r="F446"/>
      <c r="G446"/>
      <c r="H446"/>
      <c r="I446"/>
      <c r="J446"/>
      <c r="K446"/>
      <c r="L446"/>
      <c r="M446"/>
      <c r="N446"/>
      <c r="O446"/>
      <c r="P446"/>
      <c r="Q446"/>
      <c r="R446"/>
      <c r="S446"/>
      <c r="T446"/>
      <c r="U446"/>
      <c r="V446"/>
      <c r="W446"/>
      <c r="X446"/>
      <c r="Y446"/>
      <c r="Z446"/>
      <c r="AA446"/>
      <c r="AB446"/>
      <c r="AC446"/>
      <c r="AD446"/>
      <c r="AE446"/>
      <c r="AF446"/>
      <c r="AG446"/>
      <c r="AH446"/>
      <c r="AI446"/>
    </row>
    <row r="447" spans="1:35" s="33" customFormat="1" ht="15.75">
      <c r="A447" s="175"/>
      <c r="B447" s="163"/>
      <c r="C447" s="123"/>
      <c r="D447" s="123"/>
      <c r="E447" s="32"/>
      <c r="F447"/>
      <c r="G447"/>
      <c r="H447"/>
      <c r="I447"/>
      <c r="J447"/>
      <c r="K447"/>
      <c r="L447"/>
      <c r="M447"/>
      <c r="N447"/>
      <c r="O447"/>
      <c r="P447"/>
      <c r="Q447"/>
      <c r="R447"/>
      <c r="S447"/>
      <c r="T447"/>
      <c r="U447"/>
      <c r="V447"/>
      <c r="W447"/>
      <c r="X447"/>
      <c r="Y447"/>
      <c r="Z447"/>
      <c r="AA447"/>
      <c r="AB447"/>
      <c r="AC447"/>
      <c r="AD447"/>
      <c r="AE447"/>
      <c r="AF447"/>
      <c r="AG447"/>
      <c r="AH447"/>
      <c r="AI447"/>
    </row>
    <row r="448" spans="1:35" s="33" customFormat="1" ht="15.75">
      <c r="A448" s="175"/>
      <c r="B448" s="163"/>
      <c r="C448" s="123"/>
      <c r="D448" s="123"/>
      <c r="E448" s="32"/>
      <c r="F448"/>
      <c r="G448"/>
      <c r="H448"/>
      <c r="I448"/>
      <c r="J448"/>
      <c r="K448"/>
      <c r="L448"/>
      <c r="M448"/>
      <c r="N448"/>
      <c r="O448"/>
      <c r="P448"/>
      <c r="Q448"/>
      <c r="R448"/>
      <c r="S448"/>
      <c r="T448"/>
      <c r="U448"/>
      <c r="V448"/>
      <c r="W448"/>
      <c r="X448"/>
      <c r="Y448"/>
      <c r="Z448"/>
      <c r="AA448"/>
      <c r="AB448"/>
      <c r="AC448"/>
      <c r="AD448"/>
      <c r="AE448"/>
      <c r="AF448"/>
      <c r="AG448"/>
      <c r="AH448"/>
      <c r="AI448"/>
    </row>
    <row r="449" spans="1:35" s="33" customFormat="1" ht="15.75">
      <c r="A449" s="175"/>
      <c r="B449" s="163"/>
      <c r="C449" s="123"/>
      <c r="D449" s="123"/>
      <c r="E449" s="32"/>
      <c r="F449"/>
      <c r="G449"/>
      <c r="H449"/>
      <c r="I449"/>
      <c r="J449"/>
      <c r="K449"/>
      <c r="L449"/>
      <c r="M449"/>
      <c r="N449"/>
      <c r="O449"/>
      <c r="P449"/>
      <c r="Q449"/>
      <c r="R449"/>
      <c r="S449"/>
      <c r="T449"/>
      <c r="U449"/>
      <c r="V449"/>
      <c r="W449"/>
      <c r="X449"/>
      <c r="Y449"/>
      <c r="Z449"/>
      <c r="AA449"/>
      <c r="AB449"/>
      <c r="AC449"/>
      <c r="AD449"/>
      <c r="AE449"/>
      <c r="AF449"/>
      <c r="AG449"/>
      <c r="AH449"/>
      <c r="AI449"/>
    </row>
    <row r="450" spans="1:35" s="33" customFormat="1" ht="15.75">
      <c r="A450" s="175"/>
      <c r="B450" s="163"/>
      <c r="C450" s="123"/>
      <c r="D450" s="123"/>
      <c r="E450" s="32"/>
      <c r="F450"/>
      <c r="G450"/>
      <c r="H450"/>
      <c r="I450"/>
      <c r="J450"/>
      <c r="K450"/>
      <c r="L450"/>
      <c r="M450"/>
      <c r="N450"/>
      <c r="O450"/>
      <c r="P450"/>
      <c r="Q450"/>
      <c r="R450"/>
      <c r="S450"/>
      <c r="T450"/>
      <c r="U450"/>
      <c r="V450"/>
      <c r="W450"/>
      <c r="X450"/>
      <c r="Y450"/>
      <c r="Z450"/>
      <c r="AA450"/>
      <c r="AB450"/>
      <c r="AC450"/>
      <c r="AD450"/>
      <c r="AE450"/>
      <c r="AF450"/>
      <c r="AG450"/>
      <c r="AH450"/>
      <c r="AI450"/>
    </row>
    <row r="451" spans="1:35" s="33" customFormat="1" ht="15.75">
      <c r="A451" s="175"/>
      <c r="B451" s="163"/>
      <c r="C451" s="123"/>
      <c r="D451" s="123"/>
      <c r="E451" s="32"/>
      <c r="F451"/>
      <c r="G451"/>
      <c r="H451"/>
      <c r="I451"/>
      <c r="J451"/>
      <c r="K451"/>
      <c r="L451"/>
      <c r="M451"/>
      <c r="N451"/>
      <c r="O451"/>
      <c r="P451"/>
      <c r="Q451"/>
      <c r="R451"/>
      <c r="S451"/>
      <c r="T451"/>
      <c r="U451"/>
      <c r="V451"/>
      <c r="W451"/>
      <c r="X451"/>
      <c r="Y451"/>
      <c r="Z451"/>
      <c r="AA451"/>
      <c r="AB451"/>
      <c r="AC451"/>
      <c r="AD451"/>
      <c r="AE451"/>
      <c r="AF451"/>
      <c r="AG451"/>
      <c r="AH451"/>
      <c r="AI451"/>
    </row>
    <row r="452" spans="1:35" s="33" customFormat="1" ht="15.75">
      <c r="A452" s="175"/>
      <c r="B452" s="163"/>
      <c r="C452" s="123"/>
      <c r="D452" s="123"/>
      <c r="E452" s="32"/>
      <c r="F452"/>
      <c r="G452"/>
      <c r="H452"/>
      <c r="I452"/>
      <c r="J452"/>
      <c r="K452"/>
      <c r="L452"/>
      <c r="M452"/>
      <c r="N452"/>
      <c r="O452"/>
      <c r="P452"/>
      <c r="Q452"/>
      <c r="R452"/>
      <c r="S452"/>
      <c r="T452"/>
      <c r="U452"/>
      <c r="V452"/>
      <c r="W452"/>
      <c r="X452"/>
      <c r="Y452"/>
      <c r="Z452"/>
      <c r="AA452"/>
      <c r="AB452"/>
      <c r="AC452"/>
      <c r="AD452"/>
      <c r="AE452"/>
      <c r="AF452"/>
      <c r="AG452"/>
      <c r="AH452"/>
      <c r="AI452"/>
    </row>
    <row r="453" spans="1:35" s="33" customFormat="1" ht="15.75">
      <c r="A453" s="175"/>
      <c r="B453" s="163"/>
      <c r="C453" s="123"/>
      <c r="D453" s="123"/>
      <c r="E453" s="32"/>
      <c r="F453"/>
      <c r="G453"/>
      <c r="H453"/>
      <c r="I453"/>
      <c r="J453"/>
      <c r="K453"/>
      <c r="L453"/>
      <c r="M453"/>
      <c r="N453"/>
      <c r="O453"/>
      <c r="P453"/>
      <c r="Q453"/>
      <c r="R453"/>
      <c r="S453"/>
      <c r="T453"/>
      <c r="U453"/>
      <c r="V453"/>
      <c r="W453"/>
      <c r="X453"/>
      <c r="Y453"/>
      <c r="Z453"/>
      <c r="AA453"/>
      <c r="AB453"/>
      <c r="AC453"/>
      <c r="AD453"/>
      <c r="AE453"/>
      <c r="AF453"/>
      <c r="AG453"/>
      <c r="AH453"/>
      <c r="AI453"/>
    </row>
    <row r="454" spans="1:35" s="33" customFormat="1" ht="15.75">
      <c r="A454" s="175"/>
      <c r="B454" s="163"/>
      <c r="C454" s="123"/>
      <c r="D454" s="123"/>
      <c r="E454" s="32"/>
      <c r="F454"/>
      <c r="G454"/>
      <c r="H454"/>
      <c r="I454"/>
      <c r="J454"/>
      <c r="K454"/>
      <c r="L454"/>
      <c r="M454"/>
      <c r="N454"/>
      <c r="O454"/>
      <c r="P454"/>
      <c r="Q454"/>
      <c r="R454"/>
      <c r="S454"/>
      <c r="T454"/>
      <c r="U454"/>
      <c r="V454"/>
      <c r="W454"/>
      <c r="X454"/>
      <c r="Y454"/>
      <c r="Z454"/>
      <c r="AA454"/>
      <c r="AB454"/>
      <c r="AC454"/>
      <c r="AD454"/>
      <c r="AE454"/>
      <c r="AF454"/>
      <c r="AG454"/>
      <c r="AH454"/>
      <c r="AI454"/>
    </row>
    <row r="455" spans="1:35" s="33" customFormat="1" ht="15.75">
      <c r="A455" s="175"/>
      <c r="B455" s="163"/>
      <c r="C455" s="123"/>
      <c r="D455" s="123"/>
      <c r="E455" s="32"/>
      <c r="F455"/>
      <c r="G455"/>
      <c r="H455"/>
      <c r="I455"/>
      <c r="J455"/>
      <c r="K455"/>
      <c r="L455"/>
      <c r="M455"/>
      <c r="N455"/>
      <c r="O455"/>
      <c r="P455"/>
      <c r="Q455"/>
      <c r="R455"/>
      <c r="S455"/>
      <c r="T455"/>
      <c r="U455"/>
      <c r="V455"/>
      <c r="W455"/>
      <c r="X455"/>
      <c r="Y455"/>
      <c r="Z455"/>
      <c r="AA455"/>
      <c r="AB455"/>
      <c r="AC455"/>
      <c r="AD455"/>
      <c r="AE455"/>
      <c r="AF455"/>
      <c r="AG455"/>
      <c r="AH455"/>
      <c r="AI455"/>
    </row>
    <row r="456" spans="1:35" s="33" customFormat="1" ht="15.75">
      <c r="A456" s="175"/>
      <c r="B456" s="163"/>
      <c r="C456" s="123"/>
      <c r="D456" s="123"/>
      <c r="E456" s="32"/>
      <c r="F456"/>
      <c r="G456"/>
      <c r="H456"/>
      <c r="I456"/>
      <c r="J456"/>
      <c r="K456"/>
      <c r="L456"/>
      <c r="M456"/>
      <c r="N456"/>
      <c r="O456"/>
      <c r="P456"/>
      <c r="Q456"/>
      <c r="R456"/>
      <c r="S456"/>
      <c r="T456"/>
      <c r="U456"/>
      <c r="V456"/>
      <c r="W456"/>
      <c r="X456"/>
      <c r="Y456"/>
      <c r="Z456"/>
      <c r="AA456"/>
      <c r="AB456"/>
      <c r="AC456"/>
      <c r="AD456"/>
      <c r="AE456"/>
      <c r="AF456"/>
      <c r="AG456"/>
      <c r="AH456"/>
      <c r="AI456"/>
    </row>
    <row r="457" spans="1:35" s="33" customFormat="1" ht="15.75">
      <c r="A457" s="175"/>
      <c r="B457" s="163"/>
      <c r="C457" s="123"/>
      <c r="D457" s="123"/>
      <c r="E457" s="32"/>
      <c r="F457"/>
      <c r="G457"/>
      <c r="H457"/>
      <c r="I457"/>
      <c r="J457"/>
      <c r="K457"/>
      <c r="L457"/>
      <c r="M457"/>
      <c r="N457"/>
      <c r="O457"/>
      <c r="P457"/>
      <c r="Q457"/>
      <c r="R457"/>
      <c r="S457"/>
      <c r="T457"/>
      <c r="U457"/>
      <c r="V457"/>
      <c r="W457"/>
      <c r="X457"/>
      <c r="Y457"/>
      <c r="Z457"/>
      <c r="AA457"/>
      <c r="AB457"/>
      <c r="AC457"/>
      <c r="AD457"/>
      <c r="AE457"/>
      <c r="AF457"/>
      <c r="AG457"/>
      <c r="AH457"/>
      <c r="AI457"/>
    </row>
    <row r="458" spans="1:35" s="33" customFormat="1" ht="15.75">
      <c r="A458" s="175"/>
      <c r="B458" s="163"/>
      <c r="C458" s="123"/>
      <c r="D458" s="123"/>
      <c r="E458" s="32"/>
      <c r="F458"/>
      <c r="G458"/>
      <c r="H458"/>
      <c r="I458"/>
      <c r="J458"/>
      <c r="K458"/>
      <c r="L458"/>
      <c r="M458"/>
      <c r="N458"/>
      <c r="O458"/>
      <c r="P458"/>
      <c r="Q458"/>
      <c r="R458"/>
      <c r="S458"/>
      <c r="T458"/>
      <c r="U458"/>
      <c r="V458"/>
      <c r="W458"/>
      <c r="X458"/>
      <c r="Y458"/>
      <c r="Z458"/>
      <c r="AA458"/>
      <c r="AB458"/>
      <c r="AC458"/>
      <c r="AD458"/>
      <c r="AE458"/>
      <c r="AF458"/>
      <c r="AG458"/>
      <c r="AH458"/>
      <c r="AI458"/>
    </row>
    <row r="459" spans="1:35" s="33" customFormat="1" ht="15.75">
      <c r="A459" s="175"/>
      <c r="B459" s="163"/>
      <c r="C459" s="123"/>
      <c r="D459" s="123"/>
      <c r="E459" s="32"/>
      <c r="F459"/>
      <c r="G459"/>
      <c r="H459"/>
      <c r="I459"/>
      <c r="J459"/>
      <c r="K459"/>
      <c r="L459"/>
      <c r="M459"/>
      <c r="N459"/>
      <c r="O459"/>
      <c r="P459"/>
      <c r="Q459"/>
      <c r="R459"/>
      <c r="S459"/>
      <c r="T459"/>
      <c r="U459"/>
      <c r="V459"/>
      <c r="W459"/>
      <c r="X459"/>
      <c r="Y459"/>
      <c r="Z459"/>
      <c r="AA459"/>
      <c r="AB459"/>
      <c r="AC459"/>
      <c r="AD459"/>
      <c r="AE459"/>
      <c r="AF459"/>
      <c r="AG459"/>
      <c r="AH459"/>
      <c r="AI459"/>
    </row>
    <row r="460" spans="1:35" s="33" customFormat="1" ht="15.75">
      <c r="A460" s="175"/>
      <c r="B460" s="163"/>
      <c r="C460" s="123"/>
      <c r="D460" s="123"/>
      <c r="E460" s="32"/>
      <c r="F460"/>
      <c r="G460"/>
      <c r="H460"/>
      <c r="I460"/>
      <c r="J460"/>
      <c r="K460"/>
      <c r="L460"/>
      <c r="M460"/>
      <c r="N460"/>
      <c r="O460"/>
      <c r="P460"/>
      <c r="Q460"/>
      <c r="R460"/>
      <c r="S460"/>
      <c r="T460"/>
      <c r="U460"/>
      <c r="V460"/>
      <c r="W460"/>
      <c r="X460"/>
      <c r="Y460"/>
      <c r="Z460"/>
      <c r="AA460"/>
      <c r="AB460"/>
      <c r="AC460"/>
      <c r="AD460"/>
      <c r="AE460"/>
      <c r="AF460"/>
      <c r="AG460"/>
      <c r="AH460"/>
      <c r="AI460"/>
    </row>
    <row r="461" spans="1:35" s="33" customFormat="1" ht="15.75">
      <c r="A461" s="175"/>
      <c r="B461" s="163"/>
      <c r="C461" s="123"/>
      <c r="D461" s="123"/>
      <c r="E461" s="32"/>
      <c r="F461"/>
      <c r="G461"/>
      <c r="H461"/>
      <c r="I461"/>
      <c r="J461"/>
      <c r="K461"/>
      <c r="L461"/>
      <c r="M461"/>
      <c r="N461"/>
      <c r="O461"/>
      <c r="P461"/>
      <c r="Q461"/>
      <c r="R461"/>
      <c r="S461"/>
      <c r="T461"/>
      <c r="U461"/>
      <c r="V461"/>
      <c r="W461"/>
      <c r="X461"/>
      <c r="Y461"/>
      <c r="Z461"/>
      <c r="AA461"/>
      <c r="AB461"/>
      <c r="AC461"/>
      <c r="AD461"/>
      <c r="AE461"/>
      <c r="AF461"/>
      <c r="AG461"/>
      <c r="AH461"/>
      <c r="AI461"/>
    </row>
    <row r="462" spans="1:35" s="33" customFormat="1" ht="15.75">
      <c r="A462" s="175"/>
      <c r="B462" s="163"/>
      <c r="C462" s="123"/>
      <c r="D462" s="123"/>
      <c r="E462" s="32"/>
      <c r="F462"/>
      <c r="G462"/>
      <c r="H462"/>
      <c r="I462"/>
      <c r="J462"/>
      <c r="K462"/>
      <c r="L462"/>
      <c r="M462"/>
      <c r="N462"/>
      <c r="O462"/>
      <c r="P462"/>
      <c r="Q462"/>
      <c r="R462"/>
      <c r="S462"/>
      <c r="T462"/>
      <c r="U462"/>
      <c r="V462"/>
      <c r="W462"/>
      <c r="X462"/>
      <c r="Y462"/>
      <c r="Z462"/>
      <c r="AA462"/>
      <c r="AB462"/>
      <c r="AC462"/>
      <c r="AD462"/>
      <c r="AE462"/>
      <c r="AF462"/>
      <c r="AG462"/>
      <c r="AH462"/>
      <c r="AI462"/>
    </row>
    <row r="463" spans="1:35" s="33" customFormat="1" ht="15.75">
      <c r="A463" s="175"/>
      <c r="B463" s="163"/>
      <c r="C463" s="123"/>
      <c r="D463" s="123"/>
      <c r="E463" s="32"/>
      <c r="F463"/>
      <c r="G463"/>
      <c r="H463"/>
      <c r="I463"/>
      <c r="J463"/>
      <c r="K463"/>
      <c r="L463"/>
      <c r="M463"/>
      <c r="N463"/>
      <c r="O463"/>
      <c r="P463"/>
      <c r="Q463"/>
      <c r="R463"/>
      <c r="S463"/>
      <c r="T463"/>
      <c r="U463"/>
      <c r="V463"/>
      <c r="W463"/>
      <c r="X463"/>
      <c r="Y463"/>
      <c r="Z463"/>
      <c r="AA463"/>
      <c r="AB463"/>
      <c r="AC463"/>
      <c r="AD463"/>
      <c r="AE463"/>
      <c r="AF463"/>
      <c r="AG463"/>
      <c r="AH463"/>
      <c r="AI463"/>
    </row>
    <row r="464" spans="1:35" s="33" customFormat="1" ht="15.75">
      <c r="A464" s="175"/>
      <c r="B464" s="163"/>
      <c r="C464" s="123"/>
      <c r="D464" s="123"/>
      <c r="E464" s="32"/>
      <c r="F464"/>
      <c r="G464"/>
      <c r="H464"/>
      <c r="I464"/>
      <c r="J464"/>
      <c r="K464"/>
      <c r="L464"/>
      <c r="M464"/>
      <c r="N464"/>
      <c r="O464"/>
      <c r="P464"/>
      <c r="Q464"/>
      <c r="R464"/>
      <c r="S464"/>
      <c r="T464"/>
      <c r="U464"/>
      <c r="V464"/>
      <c r="W464"/>
      <c r="X464"/>
      <c r="Y464"/>
      <c r="Z464"/>
      <c r="AA464"/>
      <c r="AB464"/>
      <c r="AC464"/>
      <c r="AD464"/>
      <c r="AE464"/>
      <c r="AF464"/>
      <c r="AG464"/>
      <c r="AH464"/>
      <c r="AI464"/>
    </row>
    <row r="465" spans="1:35" s="33" customFormat="1" ht="15.75">
      <c r="A465" s="175"/>
      <c r="B465" s="163"/>
      <c r="C465" s="123"/>
      <c r="D465" s="123"/>
      <c r="E465" s="32"/>
      <c r="F465"/>
      <c r="G465"/>
      <c r="H465"/>
      <c r="I465"/>
      <c r="J465"/>
      <c r="K465"/>
      <c r="L465"/>
      <c r="M465"/>
      <c r="N465"/>
      <c r="O465"/>
      <c r="P465"/>
      <c r="Q465"/>
      <c r="R465"/>
      <c r="S465"/>
      <c r="T465"/>
      <c r="U465"/>
      <c r="V465"/>
      <c r="W465"/>
      <c r="X465"/>
      <c r="Y465"/>
      <c r="Z465"/>
      <c r="AA465"/>
      <c r="AB465"/>
      <c r="AC465"/>
      <c r="AD465"/>
      <c r="AE465"/>
      <c r="AF465"/>
      <c r="AG465"/>
      <c r="AH465"/>
      <c r="AI465"/>
    </row>
    <row r="466" spans="1:35" s="33" customFormat="1" ht="15.75">
      <c r="A466" s="175"/>
      <c r="B466" s="163"/>
      <c r="C466" s="123"/>
      <c r="D466" s="123"/>
      <c r="E466" s="32"/>
      <c r="F466"/>
      <c r="G466"/>
      <c r="H466"/>
      <c r="I466"/>
      <c r="J466"/>
      <c r="K466"/>
      <c r="L466"/>
      <c r="M466"/>
      <c r="N466"/>
      <c r="O466"/>
      <c r="P466"/>
      <c r="Q466"/>
      <c r="R466"/>
      <c r="S466"/>
      <c r="T466"/>
      <c r="U466"/>
      <c r="V466"/>
      <c r="W466"/>
      <c r="X466"/>
      <c r="Y466"/>
      <c r="Z466"/>
      <c r="AA466"/>
      <c r="AB466"/>
      <c r="AC466"/>
      <c r="AD466"/>
      <c r="AE466"/>
      <c r="AF466"/>
      <c r="AG466"/>
      <c r="AH466"/>
      <c r="AI466"/>
    </row>
    <row r="467" spans="1:35" s="33" customFormat="1" ht="15.75">
      <c r="A467" s="175"/>
      <c r="B467" s="163"/>
      <c r="C467" s="123"/>
      <c r="D467" s="123"/>
      <c r="E467" s="32"/>
      <c r="F467"/>
      <c r="G467"/>
      <c r="H467"/>
      <c r="I467"/>
      <c r="J467"/>
      <c r="K467"/>
      <c r="L467"/>
      <c r="M467"/>
      <c r="N467"/>
      <c r="O467"/>
      <c r="P467"/>
      <c r="Q467"/>
      <c r="R467"/>
      <c r="S467"/>
      <c r="T467"/>
      <c r="U467"/>
      <c r="V467"/>
      <c r="W467"/>
      <c r="X467"/>
      <c r="Y467"/>
      <c r="Z467"/>
      <c r="AA467"/>
      <c r="AB467"/>
      <c r="AC467"/>
      <c r="AD467"/>
      <c r="AE467"/>
      <c r="AF467"/>
      <c r="AG467"/>
      <c r="AH467"/>
      <c r="AI467"/>
    </row>
    <row r="468" spans="1:35" s="33" customFormat="1" ht="15.75">
      <c r="A468" s="175"/>
      <c r="B468" s="163"/>
      <c r="C468" s="123"/>
      <c r="D468" s="123"/>
      <c r="E468" s="32"/>
      <c r="F468"/>
      <c r="G468"/>
      <c r="H468"/>
      <c r="I468"/>
      <c r="J468"/>
      <c r="K468"/>
      <c r="L468"/>
      <c r="M468"/>
      <c r="N468"/>
      <c r="O468"/>
      <c r="P468"/>
      <c r="Q468"/>
      <c r="R468"/>
      <c r="S468"/>
      <c r="T468"/>
      <c r="U468"/>
      <c r="V468"/>
      <c r="W468"/>
      <c r="X468"/>
      <c r="Y468"/>
      <c r="Z468"/>
      <c r="AA468"/>
      <c r="AB468"/>
      <c r="AC468"/>
      <c r="AD468"/>
      <c r="AE468"/>
      <c r="AF468"/>
      <c r="AG468"/>
      <c r="AH468"/>
      <c r="AI468"/>
    </row>
    <row r="469" spans="1:35" s="33" customFormat="1" ht="15.75">
      <c r="A469" s="175"/>
      <c r="B469" s="163"/>
      <c r="C469" s="123"/>
      <c r="D469" s="123"/>
      <c r="E469" s="32"/>
      <c r="F469"/>
      <c r="G469"/>
      <c r="H469"/>
      <c r="I469"/>
      <c r="J469"/>
      <c r="K469"/>
      <c r="L469"/>
      <c r="M469"/>
      <c r="N469"/>
      <c r="O469"/>
      <c r="P469"/>
      <c r="Q469"/>
      <c r="R469"/>
      <c r="S469"/>
      <c r="T469"/>
      <c r="U469"/>
      <c r="V469"/>
      <c r="W469"/>
      <c r="X469"/>
      <c r="Y469"/>
      <c r="Z469"/>
      <c r="AA469"/>
      <c r="AB469"/>
      <c r="AC469"/>
      <c r="AD469"/>
      <c r="AE469"/>
      <c r="AF469"/>
      <c r="AG469"/>
      <c r="AH469"/>
      <c r="AI469"/>
    </row>
    <row r="470" spans="1:35" s="33" customFormat="1" ht="15.75">
      <c r="A470" s="175"/>
      <c r="B470" s="163"/>
      <c r="C470" s="123"/>
      <c r="D470" s="123"/>
      <c r="E470" s="32"/>
      <c r="F470"/>
      <c r="G470"/>
      <c r="H470"/>
      <c r="I470"/>
      <c r="J470"/>
      <c r="K470"/>
      <c r="L470"/>
      <c r="M470"/>
      <c r="N470"/>
      <c r="O470"/>
      <c r="P470"/>
      <c r="Q470"/>
      <c r="R470"/>
      <c r="S470"/>
      <c r="T470"/>
      <c r="U470"/>
      <c r="V470"/>
      <c r="W470"/>
      <c r="X470"/>
      <c r="Y470"/>
      <c r="Z470"/>
      <c r="AA470"/>
      <c r="AB470"/>
      <c r="AC470"/>
      <c r="AD470"/>
      <c r="AE470"/>
      <c r="AF470"/>
      <c r="AG470"/>
      <c r="AH470"/>
      <c r="AI470"/>
    </row>
    <row r="471" spans="1:35" s="33" customFormat="1" ht="15.75">
      <c r="A471" s="175"/>
      <c r="B471" s="163"/>
      <c r="C471" s="123"/>
      <c r="D471" s="123"/>
      <c r="E471" s="32"/>
      <c r="F471"/>
      <c r="G471"/>
      <c r="H471"/>
      <c r="I471"/>
      <c r="J471"/>
      <c r="K471"/>
      <c r="L471"/>
      <c r="M471"/>
      <c r="N471"/>
      <c r="O471"/>
      <c r="P471"/>
      <c r="Q471"/>
      <c r="R471"/>
      <c r="S471"/>
      <c r="T471"/>
      <c r="U471"/>
      <c r="V471"/>
      <c r="W471"/>
      <c r="X471"/>
      <c r="Y471"/>
      <c r="Z471"/>
      <c r="AA471"/>
      <c r="AB471"/>
      <c r="AC471"/>
      <c r="AD471"/>
      <c r="AE471"/>
      <c r="AF471"/>
      <c r="AG471"/>
      <c r="AH471"/>
      <c r="AI471"/>
    </row>
    <row r="472" spans="1:35" s="33" customFormat="1" ht="15.75">
      <c r="A472" s="175"/>
      <c r="B472" s="163"/>
      <c r="C472" s="123"/>
      <c r="D472" s="123"/>
      <c r="E472" s="32"/>
      <c r="F472"/>
      <c r="G472"/>
      <c r="H472"/>
      <c r="I472"/>
      <c r="J472"/>
      <c r="K472"/>
      <c r="L472"/>
      <c r="M472"/>
      <c r="N472"/>
      <c r="O472"/>
      <c r="P472"/>
      <c r="Q472"/>
      <c r="R472"/>
      <c r="S472"/>
      <c r="T472"/>
      <c r="U472"/>
      <c r="V472"/>
      <c r="W472"/>
      <c r="X472"/>
      <c r="Y472"/>
      <c r="Z472"/>
      <c r="AA472"/>
      <c r="AB472"/>
      <c r="AC472"/>
      <c r="AD472"/>
      <c r="AE472"/>
      <c r="AF472"/>
      <c r="AG472"/>
      <c r="AH472"/>
      <c r="AI472"/>
    </row>
    <row r="473" spans="1:35" s="33" customFormat="1" ht="15.75">
      <c r="A473" s="175"/>
      <c r="B473" s="163"/>
      <c r="C473" s="123"/>
      <c r="D473" s="123"/>
      <c r="E473" s="32"/>
      <c r="F473"/>
      <c r="G473"/>
      <c r="H473"/>
      <c r="I473"/>
      <c r="J473"/>
      <c r="K473"/>
      <c r="L473"/>
      <c r="M473"/>
      <c r="N473"/>
      <c r="O473"/>
      <c r="P473"/>
      <c r="Q473"/>
      <c r="R473"/>
      <c r="S473"/>
      <c r="T473"/>
      <c r="U473"/>
      <c r="V473"/>
      <c r="W473"/>
      <c r="X473"/>
      <c r="Y473"/>
      <c r="Z473"/>
      <c r="AA473"/>
      <c r="AB473"/>
      <c r="AC473"/>
      <c r="AD473"/>
      <c r="AE473"/>
      <c r="AF473"/>
      <c r="AG473"/>
      <c r="AH473"/>
      <c r="AI473"/>
    </row>
    <row r="474" spans="1:35" s="33" customFormat="1" ht="15.75">
      <c r="A474" s="175"/>
      <c r="B474" s="163"/>
      <c r="C474" s="123"/>
      <c r="D474" s="123"/>
      <c r="E474" s="32"/>
      <c r="F474"/>
      <c r="G474"/>
      <c r="H474"/>
      <c r="I474"/>
      <c r="J474"/>
      <c r="K474"/>
      <c r="L474"/>
      <c r="M474"/>
      <c r="N474"/>
      <c r="O474"/>
      <c r="P474"/>
      <c r="Q474"/>
      <c r="R474"/>
      <c r="S474"/>
      <c r="T474"/>
      <c r="U474"/>
      <c r="V474"/>
      <c r="W474"/>
      <c r="X474"/>
      <c r="Y474"/>
      <c r="Z474"/>
      <c r="AA474"/>
      <c r="AB474"/>
      <c r="AC474"/>
      <c r="AD474"/>
      <c r="AE474"/>
      <c r="AF474"/>
      <c r="AG474"/>
      <c r="AH474"/>
      <c r="AI474"/>
    </row>
    <row r="475" spans="1:35" s="33" customFormat="1" ht="15.75">
      <c r="A475" s="175"/>
      <c r="B475" s="163"/>
      <c r="C475" s="123"/>
      <c r="D475" s="123"/>
      <c r="E475" s="32"/>
      <c r="F475"/>
      <c r="G475"/>
      <c r="H475"/>
      <c r="I475"/>
      <c r="J475"/>
      <c r="K475"/>
      <c r="L475"/>
      <c r="M475"/>
      <c r="N475"/>
      <c r="O475"/>
      <c r="P475"/>
      <c r="Q475"/>
      <c r="R475"/>
      <c r="S475"/>
      <c r="T475"/>
      <c r="U475"/>
      <c r="V475"/>
      <c r="W475"/>
      <c r="X475"/>
      <c r="Y475"/>
      <c r="Z475"/>
      <c r="AA475"/>
      <c r="AB475"/>
      <c r="AC475"/>
      <c r="AD475"/>
      <c r="AE475"/>
      <c r="AF475"/>
      <c r="AG475"/>
      <c r="AH475"/>
      <c r="AI475"/>
    </row>
    <row r="476" spans="1:35" s="33" customFormat="1" ht="15.75">
      <c r="A476" s="175"/>
      <c r="B476" s="163"/>
      <c r="C476" s="123"/>
      <c r="D476" s="123"/>
      <c r="E476" s="32"/>
      <c r="F476"/>
      <c r="G476"/>
      <c r="H476"/>
      <c r="I476"/>
      <c r="J476"/>
      <c r="K476"/>
      <c r="L476"/>
      <c r="M476"/>
      <c r="N476"/>
      <c r="O476"/>
      <c r="P476"/>
      <c r="Q476"/>
      <c r="R476"/>
      <c r="S476"/>
      <c r="T476"/>
      <c r="U476"/>
      <c r="V476"/>
      <c r="W476"/>
      <c r="X476"/>
      <c r="Y476"/>
      <c r="Z476"/>
      <c r="AA476"/>
      <c r="AB476"/>
      <c r="AC476"/>
      <c r="AD476"/>
      <c r="AE476"/>
      <c r="AF476"/>
      <c r="AG476"/>
      <c r="AH476"/>
      <c r="AI476"/>
    </row>
    <row r="477" spans="1:35" s="33" customFormat="1" ht="15.75">
      <c r="A477" s="175"/>
      <c r="B477" s="163"/>
      <c r="C477" s="123"/>
      <c r="D477" s="123"/>
      <c r="E477" s="32"/>
      <c r="F477"/>
      <c r="G477"/>
      <c r="H477"/>
      <c r="I477"/>
      <c r="J477"/>
      <c r="K477"/>
      <c r="L477"/>
      <c r="M477"/>
      <c r="N477"/>
      <c r="O477"/>
      <c r="P477"/>
      <c r="Q477"/>
      <c r="R477"/>
      <c r="S477"/>
      <c r="T477"/>
      <c r="U477"/>
      <c r="V477"/>
      <c r="W477"/>
      <c r="X477"/>
      <c r="Y477"/>
      <c r="Z477"/>
      <c r="AA477"/>
      <c r="AB477"/>
      <c r="AC477"/>
      <c r="AD477"/>
      <c r="AE477"/>
      <c r="AF477"/>
      <c r="AG477"/>
      <c r="AH477"/>
      <c r="AI477"/>
    </row>
    <row r="478" spans="1:35" s="33" customFormat="1" ht="15.75">
      <c r="A478" s="175"/>
      <c r="B478" s="163"/>
      <c r="C478" s="123"/>
      <c r="D478" s="123"/>
      <c r="E478" s="32"/>
      <c r="F478"/>
      <c r="G478"/>
      <c r="H478"/>
      <c r="I478"/>
      <c r="J478"/>
      <c r="K478"/>
      <c r="L478"/>
      <c r="M478"/>
      <c r="N478"/>
      <c r="O478"/>
      <c r="P478"/>
      <c r="Q478"/>
      <c r="R478"/>
      <c r="S478"/>
      <c r="T478"/>
      <c r="U478"/>
      <c r="V478"/>
      <c r="W478"/>
      <c r="X478"/>
      <c r="Y478"/>
      <c r="Z478"/>
      <c r="AA478"/>
      <c r="AB478"/>
      <c r="AC478"/>
      <c r="AD478"/>
      <c r="AE478"/>
      <c r="AF478"/>
      <c r="AG478"/>
      <c r="AH478"/>
      <c r="AI478"/>
    </row>
    <row r="479" spans="1:35" s="33" customFormat="1" ht="15.75">
      <c r="A479" s="175"/>
      <c r="B479" s="163"/>
      <c r="C479" s="123"/>
      <c r="D479" s="123"/>
      <c r="E479" s="32"/>
      <c r="F479"/>
      <c r="G479"/>
      <c r="H479"/>
      <c r="I479"/>
      <c r="J479"/>
      <c r="K479"/>
      <c r="L479"/>
      <c r="M479"/>
      <c r="N479"/>
      <c r="O479"/>
      <c r="P479"/>
      <c r="Q479"/>
      <c r="R479"/>
      <c r="S479"/>
      <c r="T479"/>
      <c r="U479"/>
      <c r="V479"/>
      <c r="W479"/>
      <c r="X479"/>
      <c r="Y479"/>
      <c r="Z479"/>
      <c r="AA479"/>
      <c r="AB479"/>
      <c r="AC479"/>
      <c r="AD479"/>
      <c r="AE479"/>
      <c r="AF479"/>
      <c r="AG479"/>
      <c r="AH479"/>
      <c r="AI479"/>
    </row>
    <row r="480" spans="1:35" s="33" customFormat="1" ht="15.75">
      <c r="A480" s="175"/>
      <c r="B480" s="163"/>
      <c r="C480" s="123"/>
      <c r="D480" s="123"/>
      <c r="E480" s="32"/>
      <c r="F480"/>
      <c r="G480"/>
      <c r="H480"/>
      <c r="I480"/>
      <c r="J480"/>
      <c r="K480"/>
      <c r="L480"/>
      <c r="M480"/>
      <c r="N480"/>
      <c r="O480"/>
      <c r="P480"/>
      <c r="Q480"/>
      <c r="R480"/>
      <c r="S480"/>
      <c r="T480"/>
      <c r="U480"/>
      <c r="V480"/>
      <c r="W480"/>
      <c r="X480"/>
      <c r="Y480"/>
      <c r="Z480"/>
      <c r="AA480"/>
      <c r="AB480"/>
      <c r="AC480"/>
      <c r="AD480"/>
      <c r="AE480"/>
      <c r="AF480"/>
      <c r="AG480"/>
      <c r="AH480"/>
      <c r="AI480"/>
    </row>
    <row r="481" spans="1:35" s="33" customFormat="1" ht="15.75">
      <c r="A481" s="175"/>
      <c r="B481" s="163"/>
      <c r="C481" s="123"/>
      <c r="D481" s="123"/>
      <c r="E481" s="32"/>
      <c r="F481"/>
      <c r="G481"/>
      <c r="H481"/>
      <c r="I481"/>
      <c r="J481"/>
      <c r="K481"/>
      <c r="L481"/>
      <c r="M481"/>
      <c r="N481"/>
      <c r="O481"/>
      <c r="P481"/>
      <c r="Q481"/>
      <c r="R481"/>
      <c r="S481"/>
      <c r="T481"/>
      <c r="U481"/>
      <c r="V481"/>
      <c r="W481"/>
      <c r="X481"/>
      <c r="Y481"/>
      <c r="Z481"/>
      <c r="AA481"/>
      <c r="AB481"/>
      <c r="AC481"/>
      <c r="AD481"/>
      <c r="AE481"/>
      <c r="AF481"/>
      <c r="AG481"/>
      <c r="AH481"/>
      <c r="AI481"/>
    </row>
    <row r="482" spans="1:35" s="33" customFormat="1" ht="15.75">
      <c r="A482" s="175"/>
      <c r="B482" s="163"/>
      <c r="C482" s="123"/>
      <c r="D482" s="123"/>
      <c r="E482" s="32"/>
      <c r="F482"/>
      <c r="G482"/>
      <c r="H482"/>
      <c r="I482"/>
      <c r="J482"/>
      <c r="K482"/>
      <c r="L482"/>
      <c r="M482"/>
      <c r="N482"/>
      <c r="O482"/>
      <c r="P482"/>
      <c r="Q482"/>
      <c r="R482"/>
      <c r="S482"/>
      <c r="T482"/>
      <c r="U482"/>
      <c r="V482"/>
      <c r="W482"/>
      <c r="X482"/>
      <c r="Y482"/>
      <c r="Z482"/>
      <c r="AA482"/>
      <c r="AB482"/>
      <c r="AC482"/>
      <c r="AD482"/>
      <c r="AE482"/>
      <c r="AF482"/>
      <c r="AG482"/>
      <c r="AH482"/>
      <c r="AI482"/>
    </row>
    <row r="483" spans="1:35" s="33" customFormat="1" ht="15.75">
      <c r="A483" s="175"/>
      <c r="B483" s="163"/>
      <c r="C483" s="123"/>
      <c r="D483" s="123"/>
      <c r="E483" s="32"/>
      <c r="F483"/>
      <c r="G483"/>
      <c r="H483"/>
      <c r="I483"/>
      <c r="J483"/>
      <c r="K483"/>
      <c r="L483"/>
      <c r="M483"/>
      <c r="N483"/>
      <c r="O483"/>
      <c r="P483"/>
      <c r="Q483"/>
      <c r="R483"/>
      <c r="S483"/>
      <c r="T483"/>
      <c r="U483"/>
      <c r="V483"/>
      <c r="W483"/>
      <c r="X483"/>
      <c r="Y483"/>
      <c r="Z483"/>
      <c r="AA483"/>
      <c r="AB483"/>
      <c r="AC483"/>
      <c r="AD483"/>
      <c r="AE483"/>
      <c r="AF483"/>
      <c r="AG483"/>
      <c r="AH483"/>
      <c r="AI483"/>
    </row>
    <row r="484" spans="1:35" s="33" customFormat="1" ht="15.75">
      <c r="A484" s="175"/>
      <c r="B484" s="163"/>
      <c r="C484" s="123"/>
      <c r="D484" s="123"/>
      <c r="E484" s="32"/>
      <c r="F484"/>
      <c r="G484"/>
      <c r="H484"/>
      <c r="I484"/>
      <c r="J484"/>
      <c r="K484"/>
      <c r="L484"/>
      <c r="M484"/>
      <c r="N484"/>
      <c r="O484"/>
      <c r="P484"/>
      <c r="Q484"/>
      <c r="R484"/>
      <c r="S484"/>
      <c r="T484"/>
      <c r="U484"/>
      <c r="V484"/>
      <c r="W484"/>
      <c r="X484"/>
      <c r="Y484"/>
      <c r="Z484"/>
      <c r="AA484"/>
      <c r="AB484"/>
      <c r="AC484"/>
      <c r="AD484"/>
      <c r="AE484"/>
      <c r="AF484"/>
      <c r="AG484"/>
      <c r="AH484"/>
      <c r="AI484"/>
    </row>
    <row r="485" spans="1:35" s="33" customFormat="1" ht="15.75">
      <c r="A485" s="175"/>
      <c r="B485" s="163"/>
      <c r="C485" s="123"/>
      <c r="D485" s="123"/>
      <c r="E485" s="32"/>
      <c r="F485"/>
      <c r="G485"/>
      <c r="H485"/>
      <c r="I485"/>
      <c r="J485"/>
      <c r="K485"/>
      <c r="L485"/>
      <c r="M485"/>
      <c r="N485"/>
      <c r="O485"/>
      <c r="P485"/>
      <c r="Q485"/>
      <c r="R485"/>
      <c r="S485"/>
      <c r="T485"/>
      <c r="U485"/>
      <c r="V485"/>
      <c r="W485"/>
      <c r="X485"/>
      <c r="Y485"/>
      <c r="Z485"/>
      <c r="AA485"/>
      <c r="AB485"/>
      <c r="AC485"/>
      <c r="AD485"/>
      <c r="AE485"/>
      <c r="AF485"/>
      <c r="AG485"/>
      <c r="AH485"/>
      <c r="AI485"/>
    </row>
    <row r="486" spans="1:35" s="33" customFormat="1" ht="15.75">
      <c r="A486" s="175"/>
      <c r="B486" s="163"/>
      <c r="C486" s="123"/>
      <c r="D486" s="123"/>
      <c r="E486" s="32"/>
      <c r="F486"/>
      <c r="G486"/>
      <c r="H486"/>
      <c r="I486"/>
      <c r="J486"/>
      <c r="K486"/>
      <c r="L486"/>
      <c r="M486"/>
      <c r="N486"/>
      <c r="O486"/>
      <c r="P486"/>
      <c r="Q486"/>
      <c r="R486"/>
      <c r="S486"/>
      <c r="T486"/>
      <c r="U486"/>
      <c r="V486"/>
      <c r="W486"/>
      <c r="X486"/>
      <c r="Y486"/>
      <c r="Z486"/>
      <c r="AA486"/>
      <c r="AB486"/>
      <c r="AC486"/>
      <c r="AD486"/>
      <c r="AE486"/>
      <c r="AF486"/>
      <c r="AG486"/>
      <c r="AH486"/>
      <c r="AI486"/>
    </row>
    <row r="487" spans="1:35" s="33" customFormat="1" ht="15.75">
      <c r="A487" s="175"/>
      <c r="B487" s="163"/>
      <c r="C487" s="123"/>
      <c r="D487" s="123"/>
      <c r="E487" s="32"/>
      <c r="F487"/>
      <c r="G487"/>
      <c r="H487"/>
      <c r="I487"/>
      <c r="J487"/>
      <c r="K487"/>
      <c r="L487"/>
      <c r="M487"/>
      <c r="N487"/>
      <c r="O487"/>
      <c r="P487"/>
      <c r="Q487"/>
      <c r="R487"/>
      <c r="S487"/>
      <c r="T487"/>
      <c r="U487"/>
      <c r="V487"/>
      <c r="W487"/>
      <c r="X487"/>
      <c r="Y487"/>
      <c r="Z487"/>
      <c r="AA487"/>
      <c r="AB487"/>
      <c r="AC487"/>
      <c r="AD487"/>
      <c r="AE487"/>
      <c r="AF487"/>
      <c r="AG487"/>
      <c r="AH487"/>
      <c r="AI487"/>
    </row>
    <row r="488" spans="1:35" s="33" customFormat="1" ht="15.75">
      <c r="A488" s="175"/>
      <c r="B488" s="163"/>
      <c r="C488" s="123"/>
      <c r="D488" s="123"/>
      <c r="E488" s="32"/>
      <c r="F488"/>
      <c r="G488"/>
      <c r="H488"/>
      <c r="I488"/>
      <c r="J488"/>
      <c r="K488"/>
      <c r="L488"/>
      <c r="M488"/>
      <c r="N488"/>
      <c r="O488"/>
      <c r="P488"/>
      <c r="Q488"/>
      <c r="R488"/>
      <c r="S488"/>
      <c r="T488"/>
      <c r="U488"/>
      <c r="V488"/>
      <c r="W488"/>
      <c r="X488"/>
      <c r="Y488"/>
      <c r="Z488"/>
      <c r="AA488"/>
      <c r="AB488"/>
      <c r="AC488"/>
      <c r="AD488"/>
      <c r="AE488"/>
      <c r="AF488"/>
      <c r="AG488"/>
      <c r="AH488"/>
      <c r="AI488"/>
    </row>
    <row r="489" spans="1:35" s="33" customFormat="1" ht="15.75">
      <c r="A489" s="175"/>
      <c r="B489" s="163"/>
      <c r="C489" s="123"/>
      <c r="D489" s="123"/>
      <c r="E489" s="32"/>
      <c r="F489"/>
      <c r="G489"/>
      <c r="H489"/>
      <c r="I489"/>
      <c r="J489"/>
      <c r="K489"/>
      <c r="L489"/>
      <c r="M489"/>
      <c r="N489"/>
      <c r="O489"/>
      <c r="P489"/>
      <c r="Q489"/>
      <c r="R489"/>
      <c r="S489"/>
      <c r="T489"/>
      <c r="U489"/>
      <c r="V489"/>
      <c r="W489"/>
      <c r="X489"/>
      <c r="Y489"/>
      <c r="Z489"/>
      <c r="AA489"/>
      <c r="AB489"/>
      <c r="AC489"/>
      <c r="AD489"/>
      <c r="AE489"/>
      <c r="AF489"/>
      <c r="AG489"/>
      <c r="AH489"/>
      <c r="AI489"/>
    </row>
    <row r="490" spans="1:35" s="33" customFormat="1" ht="15.75">
      <c r="A490" s="175"/>
      <c r="B490" s="163"/>
      <c r="C490" s="123"/>
      <c r="D490" s="123"/>
      <c r="E490" s="32"/>
      <c r="F490"/>
      <c r="G490"/>
      <c r="H490"/>
      <c r="I490"/>
      <c r="J490"/>
      <c r="K490"/>
      <c r="L490"/>
      <c r="M490"/>
      <c r="N490"/>
      <c r="O490"/>
      <c r="P490"/>
      <c r="Q490"/>
      <c r="R490"/>
      <c r="S490"/>
      <c r="T490"/>
      <c r="U490"/>
      <c r="V490"/>
      <c r="W490"/>
      <c r="X490"/>
      <c r="Y490"/>
      <c r="Z490"/>
      <c r="AA490"/>
      <c r="AB490"/>
      <c r="AC490"/>
      <c r="AD490"/>
      <c r="AE490"/>
      <c r="AF490"/>
      <c r="AG490"/>
      <c r="AH490"/>
      <c r="AI490"/>
    </row>
    <row r="491" spans="1:35" s="33" customFormat="1" ht="15.75">
      <c r="A491" s="175"/>
      <c r="B491" s="163"/>
      <c r="C491" s="123"/>
      <c r="D491" s="123"/>
      <c r="E491" s="32"/>
      <c r="F491"/>
      <c r="G491"/>
      <c r="H491"/>
      <c r="I491"/>
      <c r="J491"/>
      <c r="K491"/>
      <c r="L491"/>
      <c r="M491"/>
      <c r="N491"/>
      <c r="O491"/>
      <c r="P491"/>
      <c r="Q491"/>
      <c r="R491"/>
      <c r="S491"/>
      <c r="T491"/>
      <c r="U491"/>
      <c r="V491"/>
      <c r="W491"/>
      <c r="X491"/>
      <c r="Y491"/>
      <c r="Z491"/>
      <c r="AA491"/>
      <c r="AB491"/>
      <c r="AC491"/>
      <c r="AD491"/>
      <c r="AE491"/>
      <c r="AF491"/>
      <c r="AG491"/>
      <c r="AH491"/>
      <c r="AI491"/>
    </row>
    <row r="492" spans="1:35" s="33" customFormat="1" ht="15.75">
      <c r="A492" s="175"/>
      <c r="B492" s="163"/>
      <c r="C492" s="123"/>
      <c r="D492" s="123"/>
      <c r="E492" s="32"/>
      <c r="F492"/>
      <c r="G492"/>
      <c r="H492"/>
      <c r="I492"/>
      <c r="J492"/>
      <c r="K492"/>
      <c r="L492"/>
      <c r="M492"/>
      <c r="N492"/>
      <c r="O492"/>
      <c r="P492"/>
      <c r="Q492"/>
      <c r="R492"/>
      <c r="S492"/>
      <c r="T492"/>
      <c r="U492"/>
      <c r="V492"/>
      <c r="W492"/>
      <c r="X492"/>
      <c r="Y492"/>
      <c r="Z492"/>
      <c r="AA492"/>
      <c r="AB492"/>
      <c r="AC492"/>
      <c r="AD492"/>
      <c r="AE492"/>
      <c r="AF492"/>
      <c r="AG492"/>
      <c r="AH492"/>
      <c r="AI492"/>
    </row>
    <row r="493" spans="1:35" s="33" customFormat="1" ht="15.75">
      <c r="A493" s="175"/>
      <c r="B493" s="163"/>
      <c r="C493" s="123"/>
      <c r="D493" s="123"/>
      <c r="E493" s="32"/>
      <c r="F493"/>
      <c r="G493"/>
      <c r="H493"/>
      <c r="I493"/>
      <c r="J493"/>
      <c r="K493"/>
      <c r="L493"/>
      <c r="M493"/>
      <c r="N493"/>
      <c r="O493"/>
      <c r="P493"/>
      <c r="Q493"/>
      <c r="R493"/>
      <c r="S493"/>
      <c r="T493"/>
      <c r="U493"/>
      <c r="V493"/>
      <c r="W493"/>
      <c r="X493"/>
      <c r="Y493"/>
      <c r="Z493"/>
      <c r="AA493"/>
      <c r="AB493"/>
      <c r="AC493"/>
      <c r="AD493"/>
      <c r="AE493"/>
      <c r="AF493"/>
      <c r="AG493"/>
      <c r="AH493"/>
      <c r="AI493"/>
    </row>
    <row r="494" spans="1:35" s="33" customFormat="1" ht="15.75">
      <c r="A494" s="175"/>
      <c r="B494" s="163"/>
      <c r="C494" s="123"/>
      <c r="D494" s="123"/>
      <c r="E494" s="32"/>
      <c r="F494"/>
      <c r="G494"/>
      <c r="H494"/>
      <c r="I494"/>
      <c r="J494"/>
      <c r="K494"/>
      <c r="L494"/>
      <c r="M494"/>
      <c r="N494"/>
      <c r="O494"/>
      <c r="P494"/>
      <c r="Q494"/>
      <c r="R494"/>
      <c r="S494"/>
      <c r="T494"/>
      <c r="U494"/>
      <c r="V494"/>
      <c r="W494"/>
      <c r="X494"/>
      <c r="Y494"/>
      <c r="Z494"/>
      <c r="AA494"/>
      <c r="AB494"/>
      <c r="AC494"/>
      <c r="AD494"/>
      <c r="AE494"/>
      <c r="AF494"/>
      <c r="AG494"/>
      <c r="AH494"/>
      <c r="AI494"/>
    </row>
    <row r="495" spans="1:35" s="33" customFormat="1" ht="15.75">
      <c r="A495" s="175"/>
      <c r="B495" s="163"/>
      <c r="C495" s="123"/>
      <c r="D495" s="123"/>
      <c r="E495" s="32"/>
      <c r="F495"/>
      <c r="G495"/>
      <c r="H495"/>
      <c r="I495"/>
      <c r="J495"/>
      <c r="K495"/>
      <c r="L495"/>
      <c r="M495"/>
      <c r="N495"/>
      <c r="O495"/>
      <c r="P495"/>
      <c r="Q495"/>
      <c r="R495"/>
      <c r="S495"/>
      <c r="T495"/>
      <c r="U495"/>
      <c r="V495"/>
      <c r="W495"/>
      <c r="X495"/>
      <c r="Y495"/>
      <c r="Z495"/>
      <c r="AA495"/>
      <c r="AB495"/>
      <c r="AC495"/>
      <c r="AD495"/>
      <c r="AE495"/>
      <c r="AF495"/>
      <c r="AG495"/>
      <c r="AH495"/>
      <c r="AI495"/>
    </row>
    <row r="496" spans="1:35" s="33" customFormat="1" ht="15.75">
      <c r="A496" s="175"/>
      <c r="B496" s="163"/>
      <c r="C496" s="123"/>
      <c r="D496" s="123"/>
      <c r="E496" s="32"/>
      <c r="F496"/>
      <c r="G496"/>
      <c r="H496"/>
      <c r="I496"/>
      <c r="J496"/>
      <c r="K496"/>
      <c r="L496"/>
      <c r="M496"/>
      <c r="N496"/>
      <c r="O496"/>
      <c r="P496"/>
      <c r="Q496"/>
      <c r="R496"/>
      <c r="S496"/>
      <c r="T496"/>
      <c r="U496"/>
      <c r="V496"/>
      <c r="W496"/>
      <c r="X496"/>
      <c r="Y496"/>
      <c r="Z496"/>
      <c r="AA496"/>
      <c r="AB496"/>
      <c r="AC496"/>
      <c r="AD496"/>
      <c r="AE496"/>
      <c r="AF496"/>
      <c r="AG496"/>
      <c r="AH496"/>
      <c r="AI496"/>
    </row>
    <row r="497" spans="1:35" s="33" customFormat="1" ht="15.75">
      <c r="A497" s="175"/>
      <c r="B497" s="163"/>
      <c r="C497" s="123"/>
      <c r="D497" s="123"/>
      <c r="E497" s="32"/>
      <c r="F497"/>
      <c r="G497"/>
      <c r="H497"/>
      <c r="I497"/>
      <c r="J497"/>
      <c r="K497"/>
      <c r="L497"/>
      <c r="M497"/>
      <c r="N497"/>
      <c r="O497"/>
      <c r="P497"/>
      <c r="Q497"/>
      <c r="R497"/>
      <c r="S497"/>
      <c r="T497"/>
      <c r="U497"/>
      <c r="V497"/>
      <c r="W497"/>
      <c r="X497"/>
      <c r="Y497"/>
      <c r="Z497"/>
      <c r="AA497"/>
      <c r="AB497"/>
      <c r="AC497"/>
      <c r="AD497"/>
      <c r="AE497"/>
      <c r="AF497"/>
      <c r="AG497"/>
      <c r="AH497"/>
      <c r="AI497"/>
    </row>
    <row r="498" spans="1:35" s="33" customFormat="1" ht="15.75">
      <c r="A498" s="175"/>
      <c r="B498" s="163"/>
      <c r="C498" s="123"/>
      <c r="D498" s="123"/>
      <c r="E498" s="32"/>
      <c r="F498"/>
      <c r="G498"/>
      <c r="H498"/>
      <c r="I498"/>
      <c r="J498"/>
      <c r="K498"/>
      <c r="L498"/>
      <c r="M498"/>
      <c r="N498"/>
      <c r="O498"/>
      <c r="P498"/>
      <c r="Q498"/>
      <c r="R498"/>
      <c r="S498"/>
      <c r="T498"/>
      <c r="U498"/>
      <c r="V498"/>
      <c r="W498"/>
      <c r="X498"/>
      <c r="Y498"/>
      <c r="Z498"/>
      <c r="AA498"/>
      <c r="AB498"/>
      <c r="AC498"/>
      <c r="AD498"/>
      <c r="AE498"/>
      <c r="AF498"/>
      <c r="AG498"/>
      <c r="AH498"/>
      <c r="AI498"/>
    </row>
    <row r="499" spans="1:35" s="33" customFormat="1" ht="15.75">
      <c r="A499" s="175"/>
      <c r="B499" s="163"/>
      <c r="C499" s="123"/>
      <c r="D499" s="123"/>
      <c r="E499" s="32"/>
      <c r="F499"/>
      <c r="G499"/>
      <c r="H499"/>
      <c r="I499"/>
      <c r="J499"/>
      <c r="K499"/>
      <c r="L499"/>
      <c r="M499"/>
      <c r="N499"/>
      <c r="O499"/>
      <c r="P499"/>
      <c r="Q499"/>
      <c r="R499"/>
      <c r="S499"/>
      <c r="T499"/>
      <c r="U499"/>
      <c r="V499"/>
      <c r="W499"/>
      <c r="X499"/>
      <c r="Y499"/>
      <c r="Z499"/>
      <c r="AA499"/>
      <c r="AB499"/>
      <c r="AC499"/>
      <c r="AD499"/>
      <c r="AE499"/>
      <c r="AF499"/>
      <c r="AG499"/>
      <c r="AH499"/>
      <c r="AI499"/>
    </row>
    <row r="500" spans="1:35" s="33" customFormat="1" ht="15.75">
      <c r="A500" s="175"/>
      <c r="B500" s="163"/>
      <c r="C500" s="123"/>
      <c r="D500" s="123"/>
      <c r="E500" s="32"/>
      <c r="F500"/>
      <c r="G500"/>
      <c r="H500"/>
      <c r="I500"/>
      <c r="J500"/>
      <c r="K500"/>
      <c r="L500"/>
      <c r="M500"/>
      <c r="N500"/>
      <c r="O500"/>
      <c r="P500"/>
      <c r="Q500"/>
      <c r="R500"/>
      <c r="S500"/>
      <c r="T500"/>
      <c r="U500"/>
      <c r="V500"/>
      <c r="W500"/>
      <c r="X500"/>
      <c r="Y500"/>
      <c r="Z500"/>
      <c r="AA500"/>
      <c r="AB500"/>
      <c r="AC500"/>
      <c r="AD500"/>
      <c r="AE500"/>
      <c r="AF500"/>
      <c r="AG500"/>
      <c r="AH500"/>
      <c r="AI500"/>
    </row>
    <row r="501" spans="1:35" s="33" customFormat="1" ht="15.75">
      <c r="A501" s="175"/>
      <c r="B501" s="163"/>
      <c r="C501" s="123"/>
      <c r="D501" s="123"/>
      <c r="E501" s="32"/>
      <c r="F501"/>
      <c r="G501"/>
      <c r="H501"/>
      <c r="I501"/>
      <c r="J501"/>
      <c r="K501"/>
      <c r="L501"/>
      <c r="M501"/>
      <c r="N501"/>
      <c r="O501"/>
      <c r="P501"/>
      <c r="Q501"/>
      <c r="R501"/>
      <c r="S501"/>
      <c r="T501"/>
      <c r="U501"/>
      <c r="V501"/>
      <c r="W501"/>
      <c r="X501"/>
      <c r="Y501"/>
      <c r="Z501"/>
      <c r="AA501"/>
      <c r="AB501"/>
      <c r="AC501"/>
      <c r="AD501"/>
      <c r="AE501"/>
      <c r="AF501"/>
      <c r="AG501"/>
      <c r="AH501"/>
      <c r="AI501"/>
    </row>
    <row r="502" spans="1:35" s="33" customFormat="1" ht="15.75">
      <c r="A502" s="175"/>
      <c r="B502" s="163"/>
      <c r="C502" s="123"/>
      <c r="D502" s="123"/>
      <c r="E502" s="32"/>
      <c r="F502"/>
      <c r="G502"/>
      <c r="H502"/>
      <c r="I502"/>
      <c r="J502"/>
      <c r="K502"/>
      <c r="L502"/>
      <c r="M502"/>
      <c r="N502"/>
      <c r="O502"/>
      <c r="P502"/>
      <c r="Q502"/>
      <c r="R502"/>
      <c r="S502"/>
      <c r="T502"/>
      <c r="U502"/>
      <c r="V502"/>
      <c r="W502"/>
      <c r="X502"/>
      <c r="Y502"/>
      <c r="Z502"/>
      <c r="AA502"/>
      <c r="AB502"/>
      <c r="AC502"/>
      <c r="AD502"/>
      <c r="AE502"/>
      <c r="AF502"/>
      <c r="AG502"/>
      <c r="AH502"/>
      <c r="AI502"/>
    </row>
    <row r="503" spans="1:35" s="33" customFormat="1" ht="15.75">
      <c r="A503" s="175"/>
      <c r="B503" s="163"/>
      <c r="C503" s="123"/>
      <c r="D503" s="123"/>
      <c r="E503" s="32"/>
      <c r="F503"/>
      <c r="G503"/>
      <c r="H503"/>
      <c r="I503"/>
      <c r="J503"/>
      <c r="K503"/>
      <c r="L503"/>
      <c r="M503"/>
      <c r="N503"/>
      <c r="O503"/>
      <c r="P503"/>
      <c r="Q503"/>
      <c r="R503"/>
      <c r="S503"/>
      <c r="T503"/>
      <c r="U503"/>
      <c r="V503"/>
      <c r="W503"/>
      <c r="X503"/>
      <c r="Y503"/>
      <c r="Z503"/>
      <c r="AA503"/>
      <c r="AB503"/>
      <c r="AC503"/>
      <c r="AD503"/>
      <c r="AE503"/>
      <c r="AF503"/>
      <c r="AG503"/>
      <c r="AH503"/>
      <c r="AI503"/>
    </row>
    <row r="504" spans="1:35" s="33" customFormat="1" ht="15.75">
      <c r="A504" s="175"/>
      <c r="B504" s="163"/>
      <c r="C504" s="123"/>
      <c r="D504" s="123"/>
      <c r="E504" s="32"/>
      <c r="F504"/>
      <c r="G504"/>
      <c r="H504"/>
      <c r="I504"/>
      <c r="J504"/>
      <c r="K504"/>
      <c r="L504"/>
      <c r="M504"/>
      <c r="N504"/>
      <c r="O504"/>
      <c r="P504"/>
      <c r="Q504"/>
      <c r="R504"/>
      <c r="S504"/>
      <c r="T504"/>
      <c r="U504"/>
      <c r="V504"/>
      <c r="W504"/>
      <c r="X504"/>
      <c r="Y504"/>
      <c r="Z504"/>
      <c r="AA504"/>
      <c r="AB504"/>
      <c r="AC504"/>
      <c r="AD504"/>
      <c r="AE504"/>
      <c r="AF504"/>
      <c r="AG504"/>
      <c r="AH504"/>
      <c r="AI504"/>
    </row>
    <row r="505" spans="1:35" s="33" customFormat="1" ht="15.75">
      <c r="A505" s="175"/>
      <c r="B505" s="163"/>
      <c r="C505" s="123"/>
      <c r="D505" s="123"/>
      <c r="E505" s="32"/>
      <c r="F505"/>
      <c r="G505"/>
      <c r="H505"/>
      <c r="I505"/>
      <c r="J505"/>
      <c r="K505"/>
      <c r="L505"/>
      <c r="M505"/>
      <c r="N505"/>
      <c r="O505"/>
      <c r="P505"/>
      <c r="Q505"/>
      <c r="R505"/>
      <c r="S505"/>
      <c r="T505"/>
      <c r="U505"/>
      <c r="V505"/>
      <c r="W505"/>
      <c r="X505"/>
      <c r="Y505"/>
      <c r="Z505"/>
      <c r="AA505"/>
      <c r="AB505"/>
      <c r="AC505"/>
      <c r="AD505"/>
      <c r="AE505"/>
      <c r="AF505"/>
      <c r="AG505"/>
      <c r="AH505"/>
      <c r="AI505"/>
    </row>
    <row r="506" spans="1:35" s="33" customFormat="1" ht="15.75">
      <c r="A506" s="175"/>
      <c r="B506" s="163"/>
      <c r="C506" s="123"/>
      <c r="D506" s="123"/>
      <c r="E506" s="32"/>
      <c r="F506"/>
      <c r="G506"/>
      <c r="H506"/>
      <c r="I506"/>
      <c r="J506"/>
      <c r="K506"/>
      <c r="L506"/>
      <c r="M506"/>
      <c r="N506"/>
      <c r="O506"/>
      <c r="P506"/>
      <c r="Q506"/>
      <c r="R506"/>
      <c r="S506"/>
      <c r="T506"/>
      <c r="U506"/>
      <c r="V506"/>
      <c r="W506"/>
      <c r="X506"/>
      <c r="Y506"/>
      <c r="Z506"/>
      <c r="AA506"/>
      <c r="AB506"/>
      <c r="AC506"/>
      <c r="AD506"/>
      <c r="AE506"/>
      <c r="AF506"/>
      <c r="AG506"/>
      <c r="AH506"/>
      <c r="AI506"/>
    </row>
    <row r="507" spans="1:35" s="33" customFormat="1" ht="15.75">
      <c r="A507" s="175"/>
      <c r="B507" s="163"/>
      <c r="C507" s="123"/>
      <c r="D507" s="123"/>
      <c r="E507" s="32"/>
      <c r="F507"/>
      <c r="G507"/>
      <c r="H507"/>
      <c r="I507"/>
      <c r="J507"/>
      <c r="K507"/>
      <c r="L507"/>
      <c r="M507"/>
      <c r="N507"/>
      <c r="O507"/>
      <c r="P507"/>
      <c r="Q507"/>
      <c r="R507"/>
      <c r="S507"/>
      <c r="T507"/>
      <c r="U507"/>
      <c r="V507"/>
      <c r="W507"/>
      <c r="X507"/>
      <c r="Y507"/>
      <c r="Z507"/>
      <c r="AA507"/>
      <c r="AB507"/>
      <c r="AC507"/>
      <c r="AD507"/>
      <c r="AE507"/>
      <c r="AF507"/>
      <c r="AG507"/>
      <c r="AH507"/>
      <c r="AI507"/>
    </row>
    <row r="508" spans="1:35" s="33" customFormat="1" ht="15.75">
      <c r="A508" s="175"/>
      <c r="B508" s="163"/>
      <c r="C508" s="123"/>
      <c r="D508" s="123"/>
      <c r="E508" s="32"/>
      <c r="F508"/>
      <c r="G508"/>
      <c r="H508"/>
      <c r="I508"/>
      <c r="J508"/>
      <c r="K508"/>
      <c r="L508"/>
      <c r="M508"/>
      <c r="N508"/>
      <c r="O508"/>
      <c r="P508"/>
      <c r="Q508"/>
      <c r="R508"/>
      <c r="S508"/>
      <c r="T508"/>
      <c r="U508"/>
      <c r="V508"/>
      <c r="W508"/>
      <c r="X508"/>
      <c r="Y508"/>
      <c r="Z508"/>
      <c r="AA508"/>
      <c r="AB508"/>
      <c r="AC508"/>
      <c r="AD508"/>
      <c r="AE508"/>
      <c r="AF508"/>
      <c r="AG508"/>
      <c r="AH508"/>
      <c r="AI508"/>
    </row>
    <row r="509" spans="1:35" s="33" customFormat="1" ht="15.75">
      <c r="A509" s="175"/>
      <c r="B509" s="163"/>
      <c r="C509" s="123"/>
      <c r="D509" s="123"/>
      <c r="E509" s="32"/>
      <c r="F509"/>
      <c r="G509"/>
      <c r="H509"/>
      <c r="I509"/>
      <c r="J509"/>
      <c r="K509"/>
      <c r="L509"/>
      <c r="M509"/>
      <c r="N509"/>
      <c r="O509"/>
      <c r="P509"/>
      <c r="Q509"/>
      <c r="R509"/>
      <c r="S509"/>
      <c r="T509"/>
      <c r="U509"/>
      <c r="V509"/>
      <c r="W509"/>
      <c r="X509"/>
      <c r="Y509"/>
      <c r="Z509"/>
      <c r="AA509"/>
      <c r="AB509"/>
      <c r="AC509"/>
      <c r="AD509"/>
      <c r="AE509"/>
      <c r="AF509"/>
      <c r="AG509"/>
      <c r="AH509"/>
      <c r="AI509"/>
    </row>
    <row r="510" spans="1:35" s="33" customFormat="1" ht="15.75">
      <c r="A510" s="175"/>
      <c r="B510" s="163"/>
      <c r="C510" s="123"/>
      <c r="D510" s="123"/>
      <c r="E510" s="32"/>
      <c r="F510"/>
      <c r="G510"/>
      <c r="H510"/>
      <c r="I510"/>
      <c r="J510"/>
      <c r="K510"/>
      <c r="L510"/>
      <c r="M510"/>
      <c r="N510"/>
      <c r="O510"/>
      <c r="P510"/>
      <c r="Q510"/>
      <c r="R510"/>
      <c r="S510"/>
      <c r="T510"/>
      <c r="U510"/>
      <c r="V510"/>
      <c r="W510"/>
      <c r="X510"/>
      <c r="Y510"/>
      <c r="Z510"/>
      <c r="AA510"/>
      <c r="AB510"/>
      <c r="AC510"/>
      <c r="AD510"/>
      <c r="AE510"/>
      <c r="AF510"/>
      <c r="AG510"/>
      <c r="AH510"/>
      <c r="AI510"/>
    </row>
    <row r="511" spans="1:35" s="33" customFormat="1" ht="15.75">
      <c r="A511" s="175"/>
      <c r="B511" s="163"/>
      <c r="C511" s="123"/>
      <c r="D511" s="123"/>
      <c r="E511" s="32"/>
      <c r="F511"/>
      <c r="G511"/>
      <c r="H511"/>
      <c r="I511"/>
      <c r="J511"/>
      <c r="K511"/>
      <c r="L511"/>
      <c r="M511"/>
      <c r="N511"/>
      <c r="O511"/>
      <c r="P511"/>
      <c r="Q511"/>
      <c r="R511"/>
      <c r="S511"/>
      <c r="T511"/>
      <c r="U511"/>
      <c r="V511"/>
      <c r="W511"/>
      <c r="X511"/>
      <c r="Y511"/>
      <c r="Z511"/>
      <c r="AA511"/>
      <c r="AB511"/>
      <c r="AC511"/>
      <c r="AD511"/>
      <c r="AE511"/>
      <c r="AF511"/>
      <c r="AG511"/>
      <c r="AH511"/>
      <c r="AI511"/>
    </row>
    <row r="512" spans="1:35" s="33" customFormat="1" ht="15.75">
      <c r="A512" s="175"/>
      <c r="B512" s="163"/>
      <c r="C512" s="123"/>
      <c r="D512" s="123"/>
      <c r="E512" s="32"/>
      <c r="F512"/>
      <c r="G512"/>
      <c r="H512"/>
      <c r="I512"/>
      <c r="J512"/>
      <c r="K512"/>
      <c r="L512"/>
      <c r="M512"/>
      <c r="N512"/>
      <c r="O512"/>
      <c r="P512"/>
      <c r="Q512"/>
      <c r="R512"/>
      <c r="S512"/>
      <c r="T512"/>
      <c r="U512"/>
      <c r="V512"/>
      <c r="W512"/>
      <c r="X512"/>
      <c r="Y512"/>
      <c r="Z512"/>
      <c r="AA512"/>
      <c r="AB512"/>
      <c r="AC512"/>
      <c r="AD512"/>
      <c r="AE512"/>
      <c r="AF512"/>
      <c r="AG512"/>
      <c r="AH512"/>
      <c r="AI512"/>
    </row>
    <row r="513" spans="1:35" s="33" customFormat="1" ht="15.75">
      <c r="A513" s="175"/>
      <c r="B513" s="163"/>
      <c r="C513" s="123"/>
      <c r="D513" s="123"/>
      <c r="E513" s="32"/>
      <c r="F513"/>
      <c r="G513"/>
      <c r="H513"/>
      <c r="I513"/>
      <c r="J513"/>
      <c r="K513"/>
      <c r="L513"/>
      <c r="M513"/>
      <c r="N513"/>
      <c r="O513"/>
      <c r="P513"/>
      <c r="Q513"/>
      <c r="R513"/>
      <c r="S513"/>
      <c r="T513"/>
      <c r="U513"/>
      <c r="V513"/>
      <c r="W513"/>
      <c r="X513"/>
      <c r="Y513"/>
      <c r="Z513"/>
      <c r="AA513"/>
      <c r="AB513"/>
      <c r="AC513"/>
      <c r="AD513"/>
      <c r="AE513"/>
      <c r="AF513"/>
      <c r="AG513"/>
      <c r="AH513"/>
      <c r="AI513"/>
    </row>
    <row r="514" spans="1:35" s="33" customFormat="1" ht="15.75">
      <c r="A514" s="175"/>
      <c r="B514" s="163"/>
      <c r="C514" s="123"/>
      <c r="D514" s="123"/>
      <c r="E514" s="32"/>
      <c r="F514"/>
      <c r="G514"/>
      <c r="H514"/>
      <c r="I514"/>
      <c r="J514"/>
      <c r="K514"/>
      <c r="L514"/>
      <c r="M514"/>
      <c r="N514"/>
      <c r="O514"/>
      <c r="P514"/>
      <c r="Q514"/>
      <c r="R514"/>
      <c r="S514"/>
      <c r="T514"/>
      <c r="U514"/>
      <c r="V514"/>
      <c r="W514"/>
      <c r="X514"/>
      <c r="Y514"/>
      <c r="Z514"/>
      <c r="AA514"/>
      <c r="AB514"/>
      <c r="AC514"/>
      <c r="AD514"/>
      <c r="AE514"/>
      <c r="AF514"/>
      <c r="AG514"/>
      <c r="AH514"/>
      <c r="AI514"/>
    </row>
    <row r="515" spans="1:35" s="33" customFormat="1" ht="15.75">
      <c r="A515" s="175"/>
      <c r="B515" s="163"/>
      <c r="C515" s="123"/>
      <c r="D515" s="123"/>
      <c r="E515" s="32"/>
      <c r="F515"/>
      <c r="G515"/>
      <c r="H515"/>
      <c r="I515"/>
      <c r="J515"/>
      <c r="K515"/>
      <c r="L515"/>
      <c r="M515"/>
      <c r="N515"/>
      <c r="O515"/>
      <c r="P515"/>
      <c r="Q515"/>
      <c r="R515"/>
      <c r="S515"/>
      <c r="T515"/>
      <c r="U515"/>
      <c r="V515"/>
      <c r="W515"/>
      <c r="X515"/>
      <c r="Y515"/>
      <c r="Z515"/>
      <c r="AA515"/>
      <c r="AB515"/>
      <c r="AC515"/>
      <c r="AD515"/>
      <c r="AE515"/>
      <c r="AF515"/>
      <c r="AG515"/>
      <c r="AH515"/>
      <c r="AI515"/>
    </row>
    <row r="516" spans="1:35" s="33" customFormat="1" ht="15.75">
      <c r="A516" s="175"/>
      <c r="B516" s="163"/>
      <c r="C516" s="123"/>
      <c r="D516" s="123"/>
      <c r="E516" s="32"/>
      <c r="F516"/>
      <c r="G516"/>
      <c r="H516"/>
      <c r="I516"/>
      <c r="J516"/>
      <c r="K516"/>
      <c r="L516"/>
      <c r="M516"/>
      <c r="N516"/>
      <c r="O516"/>
      <c r="P516"/>
      <c r="Q516"/>
      <c r="R516"/>
      <c r="S516"/>
      <c r="T516"/>
      <c r="U516"/>
      <c r="V516"/>
      <c r="W516"/>
      <c r="X516"/>
      <c r="Y516"/>
      <c r="Z516"/>
      <c r="AA516"/>
      <c r="AB516"/>
      <c r="AC516"/>
      <c r="AD516"/>
      <c r="AE516"/>
      <c r="AF516"/>
      <c r="AG516"/>
      <c r="AH516"/>
      <c r="AI516"/>
    </row>
    <row r="517" spans="1:35" s="33" customFormat="1" ht="15.75">
      <c r="A517" s="175"/>
      <c r="B517" s="163"/>
      <c r="C517" s="123"/>
      <c r="D517" s="123"/>
      <c r="E517" s="32"/>
      <c r="F517"/>
      <c r="G517"/>
      <c r="H517"/>
      <c r="I517"/>
      <c r="J517"/>
      <c r="K517"/>
      <c r="L517"/>
      <c r="M517"/>
      <c r="N517"/>
      <c r="O517"/>
      <c r="P517"/>
      <c r="Q517"/>
      <c r="R517"/>
      <c r="S517"/>
      <c r="T517"/>
      <c r="U517"/>
      <c r="V517"/>
      <c r="W517"/>
      <c r="X517"/>
      <c r="Y517"/>
      <c r="Z517"/>
      <c r="AA517"/>
      <c r="AB517"/>
      <c r="AC517"/>
      <c r="AD517"/>
      <c r="AE517"/>
      <c r="AF517"/>
      <c r="AG517"/>
      <c r="AH517"/>
      <c r="AI517"/>
    </row>
    <row r="518" spans="1:35" s="33" customFormat="1" ht="15.75">
      <c r="A518" s="175"/>
      <c r="B518" s="163"/>
      <c r="C518" s="123"/>
      <c r="D518" s="123"/>
      <c r="E518" s="32"/>
      <c r="F518"/>
      <c r="G518"/>
      <c r="H518"/>
      <c r="I518"/>
      <c r="J518"/>
      <c r="K518"/>
      <c r="L518"/>
      <c r="M518"/>
      <c r="N518"/>
      <c r="O518"/>
      <c r="P518"/>
      <c r="Q518"/>
      <c r="R518"/>
      <c r="S518"/>
      <c r="T518"/>
      <c r="U518"/>
      <c r="V518"/>
      <c r="W518"/>
      <c r="X518"/>
      <c r="Y518"/>
      <c r="Z518"/>
      <c r="AA518"/>
      <c r="AB518"/>
      <c r="AC518"/>
      <c r="AD518"/>
      <c r="AE518"/>
      <c r="AF518"/>
      <c r="AG518"/>
      <c r="AH518"/>
      <c r="AI518"/>
    </row>
    <row r="519" spans="1:35" s="33" customFormat="1" ht="15.75">
      <c r="A519" s="175"/>
      <c r="B519" s="163"/>
      <c r="C519" s="123"/>
      <c r="D519" s="123"/>
      <c r="E519" s="32"/>
      <c r="F519"/>
      <c r="G519"/>
      <c r="H519"/>
      <c r="I519"/>
      <c r="J519"/>
      <c r="K519"/>
      <c r="L519"/>
      <c r="M519"/>
      <c r="N519"/>
      <c r="O519"/>
      <c r="P519"/>
      <c r="Q519"/>
      <c r="R519"/>
      <c r="S519"/>
      <c r="T519"/>
      <c r="U519"/>
      <c r="V519"/>
      <c r="W519"/>
      <c r="X519"/>
      <c r="Y519"/>
      <c r="Z519"/>
      <c r="AA519"/>
      <c r="AB519"/>
      <c r="AC519"/>
      <c r="AD519"/>
      <c r="AE519"/>
      <c r="AF519"/>
      <c r="AG519"/>
      <c r="AH519"/>
      <c r="AI519"/>
    </row>
    <row r="520" spans="1:35" s="33" customFormat="1" ht="15.75">
      <c r="A520" s="175"/>
      <c r="B520" s="163"/>
      <c r="C520" s="123"/>
      <c r="D520" s="123"/>
      <c r="E520" s="32"/>
      <c r="F520"/>
      <c r="G520"/>
      <c r="H520"/>
      <c r="I520"/>
      <c r="J520"/>
      <c r="K520"/>
      <c r="L520"/>
      <c r="M520"/>
      <c r="N520"/>
      <c r="O520"/>
      <c r="P520"/>
      <c r="Q520"/>
      <c r="R520"/>
      <c r="S520"/>
      <c r="T520"/>
      <c r="U520"/>
      <c r="V520"/>
      <c r="W520"/>
      <c r="X520"/>
      <c r="Y520"/>
      <c r="Z520"/>
      <c r="AA520"/>
      <c r="AB520"/>
      <c r="AC520"/>
      <c r="AD520"/>
      <c r="AE520"/>
      <c r="AF520"/>
      <c r="AG520"/>
      <c r="AH520"/>
      <c r="AI520"/>
    </row>
    <row r="521" spans="1:35" s="33" customFormat="1" ht="15.75">
      <c r="A521" s="175"/>
      <c r="B521" s="163"/>
      <c r="C521" s="123"/>
      <c r="D521" s="123"/>
      <c r="E521" s="32"/>
      <c r="F521"/>
      <c r="G521"/>
      <c r="H521"/>
      <c r="I521"/>
      <c r="J521"/>
      <c r="K521"/>
      <c r="L521"/>
      <c r="M521"/>
      <c r="N521"/>
      <c r="O521"/>
      <c r="P521"/>
      <c r="Q521"/>
      <c r="R521"/>
      <c r="S521"/>
      <c r="T521"/>
      <c r="U521"/>
      <c r="V521"/>
      <c r="W521"/>
      <c r="X521"/>
      <c r="Y521"/>
      <c r="Z521"/>
      <c r="AA521"/>
      <c r="AB521"/>
      <c r="AC521"/>
      <c r="AD521"/>
      <c r="AE521"/>
      <c r="AF521"/>
      <c r="AG521"/>
      <c r="AH521"/>
      <c r="AI521"/>
    </row>
    <row r="522" spans="1:35" s="33" customFormat="1" ht="15.75">
      <c r="A522" s="175"/>
      <c r="B522" s="163"/>
      <c r="C522" s="123"/>
      <c r="D522" s="123"/>
      <c r="E522" s="32"/>
      <c r="F522"/>
      <c r="G522"/>
      <c r="H522"/>
      <c r="I522"/>
      <c r="J522"/>
      <c r="K522"/>
      <c r="L522"/>
      <c r="M522"/>
      <c r="N522"/>
      <c r="O522"/>
      <c r="P522"/>
      <c r="Q522"/>
      <c r="R522"/>
      <c r="S522"/>
      <c r="T522"/>
      <c r="U522"/>
      <c r="V522"/>
      <c r="W522"/>
      <c r="X522"/>
      <c r="Y522"/>
      <c r="Z522"/>
      <c r="AA522"/>
      <c r="AB522"/>
      <c r="AC522"/>
      <c r="AD522"/>
      <c r="AE522"/>
      <c r="AF522"/>
      <c r="AG522"/>
      <c r="AH522"/>
      <c r="AI522"/>
    </row>
    <row r="523" spans="1:35" s="33" customFormat="1" ht="15.75">
      <c r="A523" s="175"/>
      <c r="B523" s="163"/>
      <c r="C523" s="123"/>
      <c r="D523" s="123"/>
      <c r="E523" s="32"/>
      <c r="F523"/>
      <c r="G523"/>
      <c r="H523"/>
      <c r="I523"/>
      <c r="J523"/>
      <c r="K523"/>
      <c r="L523"/>
      <c r="M523"/>
      <c r="N523"/>
      <c r="O523"/>
      <c r="P523"/>
      <c r="Q523"/>
      <c r="R523"/>
      <c r="S523"/>
      <c r="T523"/>
      <c r="U523"/>
      <c r="V523"/>
      <c r="W523"/>
      <c r="X523"/>
      <c r="Y523"/>
      <c r="Z523"/>
      <c r="AA523"/>
      <c r="AB523"/>
      <c r="AC523"/>
      <c r="AD523"/>
      <c r="AE523"/>
      <c r="AF523"/>
      <c r="AG523"/>
      <c r="AH523"/>
      <c r="AI523"/>
    </row>
    <row r="524" spans="1:35" s="33" customFormat="1" ht="15.75">
      <c r="A524" s="175"/>
      <c r="B524" s="163"/>
      <c r="C524" s="123"/>
      <c r="D524" s="123"/>
      <c r="E524" s="32"/>
      <c r="F524"/>
      <c r="G524"/>
      <c r="H524"/>
      <c r="I524"/>
      <c r="J524"/>
      <c r="K524"/>
      <c r="L524"/>
      <c r="M524"/>
      <c r="N524"/>
      <c r="O524"/>
      <c r="P524"/>
      <c r="Q524"/>
      <c r="R524"/>
      <c r="S524"/>
      <c r="T524"/>
      <c r="U524"/>
      <c r="V524"/>
      <c r="W524"/>
      <c r="X524"/>
      <c r="Y524"/>
      <c r="Z524"/>
      <c r="AA524"/>
      <c r="AB524"/>
      <c r="AC524"/>
      <c r="AD524"/>
      <c r="AE524"/>
      <c r="AF524"/>
      <c r="AG524"/>
      <c r="AH524"/>
      <c r="AI524"/>
    </row>
    <row r="525" spans="1:35" s="33" customFormat="1" ht="15.75">
      <c r="A525" s="175"/>
      <c r="B525" s="163"/>
      <c r="C525" s="123"/>
      <c r="D525" s="123"/>
      <c r="E525" s="32"/>
      <c r="F525"/>
      <c r="G525"/>
      <c r="H525"/>
      <c r="I525"/>
      <c r="J525"/>
      <c r="K525"/>
      <c r="L525"/>
      <c r="M525"/>
      <c r="N525"/>
      <c r="O525"/>
      <c r="P525"/>
      <c r="Q525"/>
      <c r="R525"/>
      <c r="S525"/>
      <c r="T525"/>
      <c r="U525"/>
      <c r="V525"/>
      <c r="W525"/>
      <c r="X525"/>
      <c r="Y525"/>
      <c r="Z525"/>
      <c r="AA525"/>
      <c r="AB525"/>
      <c r="AC525"/>
      <c r="AD525"/>
      <c r="AE525"/>
      <c r="AF525"/>
      <c r="AG525"/>
      <c r="AH525"/>
      <c r="AI525"/>
    </row>
    <row r="526" spans="1:35" s="33" customFormat="1" ht="15.75">
      <c r="A526" s="175"/>
      <c r="B526" s="163"/>
      <c r="C526" s="123"/>
      <c r="D526" s="123"/>
      <c r="E526" s="32"/>
      <c r="F526"/>
      <c r="G526"/>
      <c r="H526"/>
      <c r="I526"/>
      <c r="J526"/>
      <c r="K526"/>
      <c r="L526"/>
      <c r="M526"/>
      <c r="N526"/>
      <c r="O526"/>
      <c r="P526"/>
      <c r="Q526"/>
      <c r="R526"/>
      <c r="S526"/>
      <c r="T526"/>
      <c r="U526"/>
      <c r="V526"/>
      <c r="W526"/>
      <c r="X526"/>
      <c r="Y526"/>
      <c r="Z526"/>
      <c r="AA526"/>
      <c r="AB526"/>
      <c r="AC526"/>
      <c r="AD526"/>
      <c r="AE526"/>
      <c r="AF526"/>
      <c r="AG526"/>
      <c r="AH526"/>
      <c r="AI526"/>
    </row>
    <row r="527" spans="1:35" s="33" customFormat="1" ht="15.75">
      <c r="A527" s="175"/>
      <c r="B527" s="163"/>
      <c r="C527" s="123"/>
      <c r="D527" s="123"/>
      <c r="E527" s="32"/>
      <c r="F527"/>
      <c r="G527"/>
      <c r="H527"/>
      <c r="I527"/>
      <c r="J527"/>
      <c r="K527"/>
      <c r="L527"/>
      <c r="M527"/>
      <c r="N527"/>
      <c r="O527"/>
      <c r="P527"/>
      <c r="Q527"/>
      <c r="R527"/>
      <c r="S527"/>
      <c r="T527"/>
      <c r="U527"/>
      <c r="V527"/>
      <c r="W527"/>
      <c r="X527"/>
      <c r="Y527"/>
      <c r="Z527"/>
      <c r="AA527"/>
      <c r="AB527"/>
      <c r="AC527"/>
      <c r="AD527"/>
      <c r="AE527"/>
      <c r="AF527"/>
      <c r="AG527"/>
      <c r="AH527"/>
      <c r="AI527"/>
    </row>
    <row r="528" spans="1:35" s="33" customFormat="1" ht="15.75">
      <c r="A528" s="175"/>
      <c r="B528" s="163"/>
      <c r="C528" s="123"/>
      <c r="D528" s="123"/>
      <c r="E528" s="32"/>
      <c r="F528"/>
      <c r="G528"/>
      <c r="H528"/>
      <c r="I528"/>
      <c r="J528"/>
      <c r="K528"/>
      <c r="L528"/>
      <c r="M528"/>
      <c r="N528"/>
      <c r="O528"/>
      <c r="P528"/>
      <c r="Q528"/>
      <c r="R528"/>
      <c r="S528"/>
      <c r="T528"/>
      <c r="U528"/>
      <c r="V528"/>
      <c r="W528"/>
      <c r="X528"/>
      <c r="Y528"/>
      <c r="Z528"/>
      <c r="AA528"/>
      <c r="AB528"/>
      <c r="AC528"/>
      <c r="AD528"/>
      <c r="AE528"/>
      <c r="AF528"/>
      <c r="AG528"/>
      <c r="AH528"/>
      <c r="AI528"/>
    </row>
    <row r="529" spans="1:35" s="33" customFormat="1" ht="15.75">
      <c r="A529" s="175"/>
      <c r="B529" s="163"/>
      <c r="C529" s="123"/>
      <c r="D529" s="123"/>
      <c r="E529" s="32"/>
      <c r="F529"/>
      <c r="G529"/>
      <c r="H529"/>
      <c r="I529"/>
      <c r="J529"/>
      <c r="K529"/>
      <c r="L529"/>
      <c r="M529"/>
      <c r="N529"/>
      <c r="O529"/>
      <c r="P529"/>
      <c r="Q529"/>
      <c r="R529"/>
      <c r="S529"/>
      <c r="T529"/>
      <c r="U529"/>
      <c r="V529"/>
      <c r="W529"/>
      <c r="X529"/>
      <c r="Y529"/>
      <c r="Z529"/>
      <c r="AA529"/>
      <c r="AB529"/>
      <c r="AC529"/>
      <c r="AD529"/>
      <c r="AE529"/>
      <c r="AF529"/>
      <c r="AG529"/>
      <c r="AH529"/>
      <c r="AI529"/>
    </row>
    <row r="530" spans="1:35" s="33" customFormat="1" ht="15.75">
      <c r="A530" s="175"/>
      <c r="B530" s="163"/>
      <c r="C530" s="123"/>
      <c r="D530" s="123"/>
      <c r="E530" s="32"/>
      <c r="F530"/>
      <c r="G530"/>
      <c r="H530"/>
      <c r="I530"/>
      <c r="J530"/>
      <c r="K530"/>
      <c r="L530"/>
      <c r="M530"/>
      <c r="N530"/>
      <c r="O530"/>
      <c r="P530"/>
      <c r="Q530"/>
      <c r="R530"/>
      <c r="S530"/>
      <c r="T530"/>
      <c r="U530"/>
      <c r="V530"/>
      <c r="W530"/>
      <c r="X530"/>
      <c r="Y530"/>
      <c r="Z530"/>
      <c r="AA530"/>
      <c r="AB530"/>
      <c r="AC530"/>
      <c r="AD530"/>
      <c r="AE530"/>
      <c r="AF530"/>
      <c r="AG530"/>
      <c r="AH530"/>
      <c r="AI530"/>
    </row>
    <row r="531" spans="1:35" s="33" customFormat="1" ht="15.75">
      <c r="A531" s="175"/>
      <c r="B531" s="163"/>
      <c r="C531" s="123"/>
      <c r="D531" s="123"/>
      <c r="E531" s="32"/>
      <c r="F531"/>
      <c r="G531"/>
      <c r="H531"/>
      <c r="I531"/>
      <c r="J531"/>
      <c r="K531"/>
      <c r="L531"/>
      <c r="M531"/>
      <c r="N531"/>
      <c r="O531"/>
      <c r="P531"/>
      <c r="Q531"/>
      <c r="R531"/>
      <c r="S531"/>
      <c r="T531"/>
      <c r="U531"/>
      <c r="V531"/>
      <c r="W531"/>
      <c r="X531"/>
      <c r="Y531"/>
      <c r="Z531"/>
      <c r="AA531"/>
      <c r="AB531"/>
      <c r="AC531"/>
      <c r="AD531"/>
      <c r="AE531"/>
      <c r="AF531"/>
      <c r="AG531"/>
      <c r="AH531"/>
      <c r="AI531"/>
    </row>
    <row r="532" spans="1:35" s="33" customFormat="1" ht="15.75">
      <c r="A532" s="175"/>
      <c r="B532" s="163"/>
      <c r="C532" s="123"/>
      <c r="D532" s="123"/>
      <c r="E532" s="32"/>
      <c r="F532"/>
      <c r="G532"/>
      <c r="H532"/>
      <c r="I532"/>
      <c r="J532"/>
      <c r="K532"/>
      <c r="L532"/>
      <c r="M532"/>
      <c r="N532"/>
      <c r="O532"/>
      <c r="P532"/>
      <c r="Q532"/>
      <c r="R532"/>
      <c r="S532"/>
      <c r="T532"/>
      <c r="U532"/>
      <c r="V532"/>
      <c r="W532"/>
      <c r="X532"/>
      <c r="Y532"/>
      <c r="Z532"/>
      <c r="AA532"/>
      <c r="AB532"/>
      <c r="AC532"/>
      <c r="AD532"/>
      <c r="AE532"/>
      <c r="AF532"/>
      <c r="AG532"/>
      <c r="AH532"/>
      <c r="AI532"/>
    </row>
    <row r="533" spans="1:35" s="33" customFormat="1" ht="15.75">
      <c r="A533" s="175"/>
      <c r="B533" s="163"/>
      <c r="C533" s="123"/>
      <c r="D533" s="123"/>
      <c r="E533" s="32"/>
      <c r="F533"/>
      <c r="G533"/>
      <c r="H533"/>
      <c r="I533"/>
      <c r="J533"/>
      <c r="K533"/>
      <c r="L533"/>
      <c r="M533"/>
      <c r="N533"/>
      <c r="O533"/>
      <c r="P533"/>
      <c r="Q533"/>
      <c r="R533"/>
      <c r="S533"/>
      <c r="T533"/>
      <c r="U533"/>
      <c r="V533"/>
      <c r="W533"/>
      <c r="X533"/>
      <c r="Y533"/>
      <c r="Z533"/>
      <c r="AA533"/>
      <c r="AB533"/>
      <c r="AC533"/>
      <c r="AD533"/>
      <c r="AE533"/>
      <c r="AF533"/>
      <c r="AG533"/>
      <c r="AH533"/>
      <c r="AI533"/>
    </row>
    <row r="534" spans="1:35" s="33" customFormat="1" ht="15.75">
      <c r="A534" s="175"/>
      <c r="B534" s="163"/>
      <c r="C534" s="123"/>
      <c r="D534" s="123"/>
      <c r="E534" s="32"/>
      <c r="F534"/>
      <c r="G534"/>
      <c r="H534"/>
      <c r="I534"/>
      <c r="J534"/>
      <c r="K534"/>
      <c r="L534"/>
      <c r="M534"/>
      <c r="N534"/>
      <c r="O534"/>
      <c r="P534"/>
      <c r="Q534"/>
      <c r="R534"/>
      <c r="S534"/>
      <c r="T534"/>
      <c r="U534"/>
      <c r="V534"/>
      <c r="W534"/>
      <c r="X534"/>
      <c r="Y534"/>
      <c r="Z534"/>
      <c r="AA534"/>
      <c r="AB534"/>
      <c r="AC534"/>
      <c r="AD534"/>
      <c r="AE534"/>
      <c r="AF534"/>
      <c r="AG534"/>
      <c r="AH534"/>
      <c r="AI534"/>
    </row>
    <row r="535" spans="1:35" s="33" customFormat="1" ht="15.75">
      <c r="A535" s="175"/>
      <c r="B535" s="163"/>
      <c r="C535" s="123"/>
      <c r="D535" s="123"/>
      <c r="E535" s="32"/>
      <c r="F535"/>
      <c r="G535"/>
      <c r="H535"/>
      <c r="I535"/>
      <c r="J535"/>
      <c r="K535"/>
      <c r="L535"/>
      <c r="M535"/>
      <c r="N535"/>
      <c r="O535"/>
      <c r="P535"/>
      <c r="Q535"/>
      <c r="R535"/>
      <c r="S535"/>
      <c r="T535"/>
      <c r="U535"/>
      <c r="V535"/>
      <c r="W535"/>
      <c r="X535"/>
      <c r="Y535"/>
      <c r="Z535"/>
      <c r="AA535"/>
      <c r="AB535"/>
      <c r="AC535"/>
      <c r="AD535"/>
      <c r="AE535"/>
      <c r="AF535"/>
      <c r="AG535"/>
      <c r="AH535"/>
      <c r="AI535"/>
    </row>
    <row r="536" spans="1:35" s="33" customFormat="1" ht="15.75">
      <c r="A536" s="175"/>
      <c r="B536" s="163"/>
      <c r="C536" s="123"/>
      <c r="D536" s="123"/>
      <c r="E536" s="32"/>
      <c r="F536"/>
      <c r="G536"/>
      <c r="H536"/>
      <c r="I536"/>
      <c r="J536"/>
      <c r="K536"/>
      <c r="L536"/>
      <c r="M536"/>
      <c r="N536"/>
      <c r="O536"/>
      <c r="P536"/>
      <c r="Q536"/>
      <c r="R536"/>
      <c r="S536"/>
      <c r="T536"/>
      <c r="U536"/>
      <c r="V536"/>
      <c r="W536"/>
      <c r="X536"/>
      <c r="Y536"/>
      <c r="Z536"/>
      <c r="AA536"/>
      <c r="AB536"/>
      <c r="AC536"/>
      <c r="AD536"/>
      <c r="AE536"/>
      <c r="AF536"/>
      <c r="AG536"/>
      <c r="AH536"/>
      <c r="AI536"/>
    </row>
    <row r="537" spans="1:35" s="33" customFormat="1" ht="15.75">
      <c r="A537" s="175"/>
      <c r="B537" s="163"/>
      <c r="C537" s="123"/>
      <c r="D537" s="123"/>
      <c r="E537" s="32"/>
      <c r="F537"/>
      <c r="G537"/>
      <c r="H537"/>
      <c r="I537"/>
      <c r="J537"/>
      <c r="K537"/>
      <c r="L537"/>
      <c r="M537"/>
      <c r="N537"/>
      <c r="O537"/>
      <c r="P537"/>
      <c r="Q537"/>
      <c r="R537"/>
      <c r="S537"/>
      <c r="T537"/>
      <c r="U537"/>
      <c r="V537"/>
      <c r="W537"/>
      <c r="X537"/>
      <c r="Y537"/>
      <c r="Z537"/>
      <c r="AA537"/>
      <c r="AB537"/>
      <c r="AC537"/>
      <c r="AD537"/>
      <c r="AE537"/>
      <c r="AF537"/>
      <c r="AG537"/>
      <c r="AH537"/>
      <c r="AI537"/>
    </row>
    <row r="538" spans="1:35" s="33" customFormat="1" ht="15.75">
      <c r="A538" s="175"/>
      <c r="B538" s="163"/>
      <c r="C538" s="123"/>
      <c r="D538" s="123"/>
      <c r="E538" s="32"/>
      <c r="F538"/>
      <c r="G538"/>
      <c r="H538"/>
      <c r="I538"/>
      <c r="J538"/>
      <c r="K538"/>
      <c r="L538"/>
      <c r="M538"/>
      <c r="N538"/>
      <c r="O538"/>
      <c r="P538"/>
      <c r="Q538"/>
      <c r="R538"/>
      <c r="S538"/>
      <c r="T538"/>
      <c r="U538"/>
      <c r="V538"/>
      <c r="W538"/>
      <c r="X538"/>
      <c r="Y538"/>
      <c r="Z538"/>
      <c r="AA538"/>
      <c r="AB538"/>
      <c r="AC538"/>
      <c r="AD538"/>
      <c r="AE538"/>
      <c r="AF538"/>
      <c r="AG538"/>
      <c r="AH538"/>
      <c r="AI538"/>
    </row>
    <row r="539" spans="1:35" s="33" customFormat="1" ht="15.75">
      <c r="A539" s="175"/>
      <c r="B539" s="163"/>
      <c r="C539" s="123"/>
      <c r="D539" s="123"/>
      <c r="E539" s="32"/>
      <c r="F539"/>
      <c r="G539"/>
      <c r="H539"/>
      <c r="I539"/>
      <c r="J539"/>
      <c r="K539"/>
      <c r="L539"/>
      <c r="M539"/>
      <c r="N539"/>
      <c r="O539"/>
      <c r="P539"/>
      <c r="Q539"/>
      <c r="R539"/>
      <c r="S539"/>
      <c r="T539"/>
      <c r="U539"/>
      <c r="V539"/>
      <c r="W539"/>
      <c r="X539"/>
      <c r="Y539"/>
      <c r="Z539"/>
      <c r="AA539"/>
      <c r="AB539"/>
      <c r="AC539"/>
      <c r="AD539"/>
      <c r="AE539"/>
      <c r="AF539"/>
      <c r="AG539"/>
      <c r="AH539"/>
      <c r="AI539"/>
    </row>
    <row r="540" spans="1:35" s="33" customFormat="1" ht="15.75">
      <c r="A540" s="175"/>
      <c r="B540" s="163"/>
      <c r="C540" s="123"/>
      <c r="D540" s="123"/>
      <c r="E540" s="32"/>
      <c r="F540"/>
      <c r="G540"/>
      <c r="H540"/>
      <c r="I540"/>
      <c r="J540"/>
      <c r="K540"/>
      <c r="L540"/>
      <c r="M540"/>
      <c r="N540"/>
      <c r="O540"/>
      <c r="P540"/>
      <c r="Q540"/>
      <c r="R540"/>
      <c r="S540"/>
      <c r="T540"/>
      <c r="U540"/>
      <c r="V540"/>
      <c r="W540"/>
      <c r="X540"/>
      <c r="Y540"/>
      <c r="Z540"/>
      <c r="AA540"/>
      <c r="AB540"/>
      <c r="AC540"/>
      <c r="AD540"/>
      <c r="AE540"/>
      <c r="AF540"/>
      <c r="AG540"/>
      <c r="AH540"/>
      <c r="AI540"/>
    </row>
    <row r="541" spans="1:35" s="33" customFormat="1" ht="15.75">
      <c r="A541" s="175"/>
      <c r="B541" s="163"/>
      <c r="C541" s="123"/>
      <c r="D541" s="123"/>
      <c r="E541" s="32"/>
      <c r="F541"/>
      <c r="G541"/>
      <c r="H541"/>
      <c r="I541"/>
      <c r="J541"/>
      <c r="K541"/>
      <c r="L541"/>
      <c r="M541"/>
      <c r="N541"/>
      <c r="O541"/>
      <c r="P541"/>
      <c r="Q541"/>
      <c r="R541"/>
      <c r="S541"/>
      <c r="T541"/>
      <c r="U541"/>
      <c r="V541"/>
      <c r="W541"/>
      <c r="X541"/>
      <c r="Y541"/>
      <c r="Z541"/>
      <c r="AA541"/>
      <c r="AB541"/>
      <c r="AC541"/>
      <c r="AD541"/>
      <c r="AE541"/>
      <c r="AF541"/>
      <c r="AG541"/>
      <c r="AH541"/>
      <c r="AI541"/>
    </row>
    <row r="542" spans="1:35" s="33" customFormat="1" ht="15.75">
      <c r="A542" s="175"/>
      <c r="B542" s="163"/>
      <c r="C542" s="123"/>
      <c r="D542" s="123"/>
      <c r="E542" s="32"/>
      <c r="F542"/>
      <c r="G542"/>
      <c r="H542"/>
      <c r="I542"/>
      <c r="J542"/>
      <c r="K542"/>
      <c r="L542"/>
      <c r="M542"/>
      <c r="N542"/>
      <c r="O542"/>
      <c r="P542"/>
      <c r="Q542"/>
      <c r="R542"/>
      <c r="S542"/>
      <c r="T542"/>
      <c r="U542"/>
      <c r="V542"/>
      <c r="W542"/>
      <c r="X542"/>
      <c r="Y542"/>
      <c r="Z542"/>
      <c r="AA542"/>
      <c r="AB542"/>
      <c r="AC542"/>
      <c r="AD542"/>
      <c r="AE542"/>
      <c r="AF542"/>
      <c r="AG542"/>
      <c r="AH542"/>
      <c r="AI542"/>
    </row>
    <row r="543" spans="1:35" s="33" customFormat="1" ht="15.75">
      <c r="A543" s="175"/>
      <c r="B543" s="163"/>
      <c r="C543" s="123"/>
      <c r="D543" s="123"/>
      <c r="E543" s="32"/>
      <c r="F543"/>
      <c r="G543"/>
      <c r="H543"/>
      <c r="I543"/>
      <c r="J543"/>
      <c r="K543"/>
      <c r="L543"/>
      <c r="M543"/>
      <c r="N543"/>
      <c r="O543"/>
      <c r="P543"/>
      <c r="Q543"/>
      <c r="R543"/>
      <c r="S543"/>
      <c r="T543"/>
      <c r="U543"/>
      <c r="V543"/>
      <c r="W543"/>
      <c r="X543"/>
      <c r="Y543"/>
      <c r="Z543"/>
      <c r="AA543"/>
      <c r="AB543"/>
      <c r="AC543"/>
      <c r="AD543"/>
      <c r="AE543"/>
      <c r="AF543"/>
      <c r="AG543"/>
      <c r="AH543"/>
      <c r="AI543"/>
    </row>
    <row r="544" spans="1:35" s="33" customFormat="1" ht="15.75">
      <c r="A544" s="175"/>
      <c r="B544" s="163"/>
      <c r="C544" s="123"/>
      <c r="D544" s="123"/>
      <c r="E544" s="32"/>
      <c r="F544"/>
      <c r="G544"/>
      <c r="H544"/>
      <c r="I544"/>
      <c r="J544"/>
      <c r="K544"/>
      <c r="L544"/>
      <c r="M544"/>
      <c r="N544"/>
      <c r="O544"/>
      <c r="P544"/>
      <c r="Q544"/>
      <c r="R544"/>
      <c r="S544"/>
      <c r="T544"/>
      <c r="U544"/>
      <c r="V544"/>
      <c r="W544"/>
      <c r="X544"/>
      <c r="Y544"/>
      <c r="Z544"/>
      <c r="AA544"/>
      <c r="AB544"/>
      <c r="AC544"/>
      <c r="AD544"/>
      <c r="AE544"/>
      <c r="AF544"/>
      <c r="AG544"/>
      <c r="AH544"/>
      <c r="AI544"/>
    </row>
    <row r="545" spans="1:35" s="33" customFormat="1" ht="15.75">
      <c r="A545" s="175"/>
      <c r="B545" s="163"/>
      <c r="C545" s="123"/>
      <c r="D545" s="123"/>
      <c r="E545" s="32"/>
      <c r="F545"/>
      <c r="G545"/>
      <c r="H545"/>
      <c r="I545"/>
      <c r="J545"/>
      <c r="K545"/>
      <c r="L545"/>
      <c r="M545"/>
      <c r="N545"/>
      <c r="O545"/>
      <c r="P545"/>
      <c r="Q545"/>
      <c r="R545"/>
      <c r="S545"/>
      <c r="T545"/>
      <c r="U545"/>
      <c r="V545"/>
      <c r="W545"/>
      <c r="X545"/>
      <c r="Y545"/>
      <c r="Z545"/>
      <c r="AA545"/>
      <c r="AB545"/>
      <c r="AC545"/>
      <c r="AD545"/>
      <c r="AE545"/>
      <c r="AF545"/>
      <c r="AG545"/>
      <c r="AH545"/>
      <c r="AI545"/>
    </row>
    <row r="546" spans="1:35" s="33" customFormat="1" ht="15.75">
      <c r="A546" s="175"/>
      <c r="B546" s="163"/>
      <c r="C546" s="123"/>
      <c r="D546" s="123"/>
      <c r="E546" s="32"/>
      <c r="F546"/>
      <c r="G546"/>
      <c r="H546"/>
      <c r="I546"/>
      <c r="J546"/>
      <c r="K546"/>
      <c r="L546"/>
      <c r="M546"/>
      <c r="N546"/>
      <c r="O546"/>
      <c r="P546"/>
      <c r="Q546"/>
      <c r="R546"/>
      <c r="S546"/>
      <c r="T546"/>
      <c r="U546"/>
      <c r="V546"/>
      <c r="W546"/>
      <c r="X546"/>
      <c r="Y546"/>
      <c r="Z546"/>
      <c r="AA546"/>
      <c r="AB546"/>
      <c r="AC546"/>
      <c r="AD546"/>
      <c r="AE546"/>
      <c r="AF546"/>
      <c r="AG546"/>
      <c r="AH546"/>
      <c r="AI546"/>
    </row>
    <row r="547" spans="1:35" s="33" customFormat="1" ht="15.75">
      <c r="A547" s="175"/>
      <c r="B547" s="163"/>
      <c r="C547" s="123"/>
      <c r="D547" s="123"/>
      <c r="E547" s="32"/>
      <c r="F547"/>
      <c r="G547"/>
      <c r="H547"/>
      <c r="I547"/>
      <c r="J547"/>
      <c r="K547"/>
      <c r="L547"/>
      <c r="M547"/>
      <c r="N547"/>
      <c r="O547"/>
      <c r="P547"/>
      <c r="Q547"/>
      <c r="R547"/>
      <c r="S547"/>
      <c r="T547"/>
      <c r="U547"/>
      <c r="V547"/>
      <c r="W547"/>
      <c r="X547"/>
      <c r="Y547"/>
      <c r="Z547"/>
      <c r="AA547"/>
      <c r="AB547"/>
      <c r="AC547"/>
      <c r="AD547"/>
      <c r="AE547"/>
      <c r="AF547"/>
      <c r="AG547"/>
      <c r="AH547"/>
      <c r="AI547"/>
    </row>
    <row r="548" spans="1:35" s="33" customFormat="1" ht="15.75">
      <c r="A548" s="175"/>
      <c r="B548" s="163"/>
      <c r="C548" s="123"/>
      <c r="D548" s="123"/>
      <c r="E548" s="32"/>
      <c r="F548"/>
      <c r="G548"/>
      <c r="H548"/>
      <c r="I548"/>
      <c r="J548"/>
      <c r="K548"/>
      <c r="L548"/>
      <c r="M548"/>
      <c r="N548"/>
      <c r="O548"/>
      <c r="P548"/>
      <c r="Q548"/>
      <c r="R548"/>
      <c r="S548"/>
      <c r="T548"/>
      <c r="U548"/>
      <c r="V548"/>
      <c r="W548"/>
      <c r="X548"/>
      <c r="Y548"/>
      <c r="Z548"/>
      <c r="AA548"/>
      <c r="AB548"/>
      <c r="AC548"/>
      <c r="AD548"/>
      <c r="AE548"/>
      <c r="AF548"/>
      <c r="AG548"/>
      <c r="AH548"/>
      <c r="AI548"/>
    </row>
    <row r="549" spans="1:35" s="33" customFormat="1" ht="15.75">
      <c r="A549" s="175"/>
      <c r="B549" s="163"/>
      <c r="C549" s="123"/>
      <c r="D549" s="123"/>
      <c r="E549" s="32"/>
      <c r="F549"/>
      <c r="G549"/>
      <c r="H549"/>
      <c r="I549"/>
      <c r="J549"/>
      <c r="K549"/>
      <c r="L549"/>
      <c r="M549"/>
      <c r="N549"/>
      <c r="O549"/>
      <c r="P549"/>
      <c r="Q549"/>
      <c r="R549"/>
      <c r="S549"/>
      <c r="T549"/>
      <c r="U549"/>
      <c r="V549"/>
      <c r="W549"/>
      <c r="X549"/>
      <c r="Y549"/>
      <c r="Z549"/>
      <c r="AA549"/>
      <c r="AB549"/>
      <c r="AC549"/>
      <c r="AD549"/>
      <c r="AE549"/>
      <c r="AF549"/>
      <c r="AG549"/>
      <c r="AH549"/>
      <c r="AI549"/>
    </row>
    <row r="550" spans="1:35" s="33" customFormat="1" ht="15.75">
      <c r="A550" s="175"/>
      <c r="B550" s="163"/>
      <c r="C550" s="123"/>
      <c r="D550" s="123"/>
      <c r="E550" s="32"/>
      <c r="F550"/>
      <c r="G550"/>
      <c r="H550"/>
      <c r="I550"/>
      <c r="J550"/>
      <c r="K550"/>
      <c r="L550"/>
      <c r="M550"/>
      <c r="N550"/>
      <c r="O550"/>
      <c r="P550"/>
      <c r="Q550"/>
      <c r="R550"/>
      <c r="S550"/>
      <c r="T550"/>
      <c r="U550"/>
      <c r="V550"/>
      <c r="W550"/>
      <c r="X550"/>
      <c r="Y550"/>
      <c r="Z550"/>
      <c r="AA550"/>
      <c r="AB550"/>
      <c r="AC550"/>
      <c r="AD550"/>
      <c r="AE550"/>
      <c r="AF550"/>
      <c r="AG550"/>
      <c r="AH550"/>
      <c r="AI550"/>
    </row>
    <row r="551" spans="1:35" s="33" customFormat="1" ht="15.75">
      <c r="A551" s="175"/>
      <c r="B551" s="163"/>
      <c r="C551" s="123"/>
      <c r="D551" s="123"/>
      <c r="E551" s="32"/>
      <c r="F551"/>
      <c r="G551"/>
      <c r="H551"/>
      <c r="I551"/>
      <c r="J551"/>
      <c r="K551"/>
      <c r="L551"/>
      <c r="M551"/>
      <c r="N551"/>
      <c r="O551"/>
      <c r="P551"/>
      <c r="Q551"/>
      <c r="R551"/>
      <c r="S551"/>
      <c r="T551"/>
      <c r="U551"/>
      <c r="V551"/>
      <c r="W551"/>
      <c r="X551"/>
      <c r="Y551"/>
      <c r="Z551"/>
      <c r="AA551"/>
      <c r="AB551"/>
      <c r="AC551"/>
      <c r="AD551"/>
      <c r="AE551"/>
      <c r="AF551"/>
      <c r="AG551"/>
      <c r="AH551"/>
      <c r="AI551"/>
    </row>
    <row r="552" spans="1:35" s="33" customFormat="1" ht="15.75">
      <c r="A552" s="175"/>
      <c r="B552" s="163"/>
      <c r="C552" s="123"/>
      <c r="D552" s="123"/>
      <c r="E552" s="32"/>
      <c r="F552"/>
      <c r="G552"/>
      <c r="H552"/>
      <c r="I552"/>
      <c r="J552"/>
      <c r="K552"/>
      <c r="L552"/>
      <c r="M552"/>
      <c r="N552"/>
      <c r="O552"/>
      <c r="P552"/>
      <c r="Q552"/>
      <c r="R552"/>
      <c r="S552"/>
      <c r="T552"/>
      <c r="U552"/>
      <c r="V552"/>
      <c r="W552"/>
      <c r="X552"/>
      <c r="Y552"/>
      <c r="Z552"/>
      <c r="AA552"/>
      <c r="AB552"/>
      <c r="AC552"/>
      <c r="AD552"/>
      <c r="AE552"/>
      <c r="AF552"/>
      <c r="AG552"/>
      <c r="AH552"/>
      <c r="AI552"/>
    </row>
    <row r="553" spans="1:35" s="33" customFormat="1" ht="15.75">
      <c r="A553" s="175"/>
      <c r="B553" s="163"/>
      <c r="C553" s="123"/>
      <c r="D553" s="123"/>
      <c r="E553" s="32"/>
      <c r="F553"/>
      <c r="G553"/>
      <c r="H553"/>
      <c r="I553"/>
      <c r="J553"/>
      <c r="K553"/>
      <c r="L553"/>
      <c r="M553"/>
      <c r="N553"/>
      <c r="O553"/>
      <c r="P553"/>
      <c r="Q553"/>
      <c r="R553"/>
      <c r="S553"/>
      <c r="T553"/>
      <c r="U553"/>
      <c r="V553"/>
      <c r="W553"/>
      <c r="X553"/>
      <c r="Y553"/>
      <c r="Z553"/>
      <c r="AA553"/>
      <c r="AB553"/>
      <c r="AC553"/>
      <c r="AD553"/>
      <c r="AE553"/>
      <c r="AF553"/>
      <c r="AG553"/>
      <c r="AH553"/>
      <c r="AI553"/>
    </row>
    <row r="554" spans="1:35" s="33" customFormat="1" ht="15.75">
      <c r="A554" s="175"/>
      <c r="B554" s="163"/>
      <c r="C554" s="123"/>
      <c r="D554" s="123"/>
      <c r="E554" s="32"/>
      <c r="F554"/>
      <c r="G554"/>
      <c r="H554"/>
      <c r="I554"/>
      <c r="J554"/>
      <c r="K554"/>
      <c r="L554"/>
      <c r="M554"/>
      <c r="N554"/>
      <c r="O554"/>
      <c r="P554"/>
      <c r="Q554"/>
      <c r="R554"/>
      <c r="S554"/>
      <c r="T554"/>
      <c r="U554"/>
      <c r="V554"/>
      <c r="W554"/>
      <c r="X554"/>
      <c r="Y554"/>
      <c r="Z554"/>
      <c r="AA554"/>
      <c r="AB554"/>
      <c r="AC554"/>
      <c r="AD554"/>
      <c r="AE554"/>
      <c r="AF554"/>
      <c r="AG554"/>
      <c r="AH554"/>
      <c r="AI554"/>
    </row>
    <row r="555" spans="1:35" s="33" customFormat="1" ht="15.75">
      <c r="A555" s="175"/>
      <c r="B555" s="163"/>
      <c r="C555" s="123"/>
      <c r="D555" s="123"/>
      <c r="E555" s="32"/>
      <c r="F555"/>
      <c r="G555"/>
      <c r="H555"/>
      <c r="I555"/>
      <c r="J555"/>
      <c r="K555"/>
      <c r="L555"/>
      <c r="M555"/>
      <c r="N555"/>
      <c r="O555"/>
      <c r="P555"/>
      <c r="Q555"/>
      <c r="R555"/>
      <c r="S555"/>
      <c r="T555"/>
      <c r="U555"/>
      <c r="V555"/>
      <c r="W555"/>
      <c r="X555"/>
      <c r="Y555"/>
      <c r="Z555"/>
      <c r="AA555"/>
      <c r="AB555"/>
      <c r="AC555"/>
      <c r="AD555"/>
      <c r="AE555"/>
      <c r="AF555"/>
      <c r="AG555"/>
      <c r="AH555"/>
      <c r="AI555"/>
    </row>
    <row r="556" spans="1:35" s="33" customFormat="1" ht="15.75">
      <c r="A556" s="175"/>
      <c r="B556" s="163"/>
      <c r="C556" s="123"/>
      <c r="D556" s="123"/>
      <c r="E556" s="32"/>
      <c r="F556"/>
      <c r="G556"/>
      <c r="H556"/>
      <c r="I556"/>
      <c r="J556"/>
      <c r="K556"/>
      <c r="L556"/>
      <c r="M556"/>
      <c r="N556"/>
      <c r="O556"/>
      <c r="P556"/>
      <c r="Q556"/>
      <c r="R556"/>
      <c r="S556"/>
      <c r="T556"/>
      <c r="U556"/>
      <c r="V556"/>
      <c r="W556"/>
      <c r="X556"/>
      <c r="Y556"/>
      <c r="Z556"/>
      <c r="AA556"/>
      <c r="AB556"/>
      <c r="AC556"/>
      <c r="AD556"/>
      <c r="AE556"/>
      <c r="AF556"/>
      <c r="AG556"/>
      <c r="AH556"/>
      <c r="AI556"/>
    </row>
    <row r="557" spans="1:35" s="33" customFormat="1" ht="15.75">
      <c r="A557" s="175"/>
      <c r="B557" s="163"/>
      <c r="C557" s="123"/>
      <c r="D557" s="123"/>
      <c r="E557" s="32"/>
      <c r="F557"/>
      <c r="G557"/>
      <c r="H557"/>
      <c r="I557"/>
      <c r="J557"/>
      <c r="K557"/>
      <c r="L557"/>
      <c r="M557"/>
      <c r="N557"/>
      <c r="O557"/>
      <c r="P557"/>
      <c r="Q557"/>
      <c r="R557"/>
      <c r="S557"/>
      <c r="T557"/>
      <c r="U557"/>
      <c r="V557"/>
      <c r="W557"/>
      <c r="X557"/>
      <c r="Y557"/>
      <c r="Z557"/>
      <c r="AA557"/>
      <c r="AB557"/>
      <c r="AC557"/>
      <c r="AD557"/>
      <c r="AE557"/>
      <c r="AF557"/>
      <c r="AG557"/>
      <c r="AH557"/>
      <c r="AI557"/>
    </row>
    <row r="558" spans="1:35" s="33" customFormat="1" ht="15.75">
      <c r="A558" s="175"/>
      <c r="B558" s="163"/>
      <c r="C558" s="123"/>
      <c r="D558" s="123"/>
      <c r="E558" s="32"/>
      <c r="F558"/>
      <c r="G558"/>
      <c r="H558"/>
      <c r="I558"/>
      <c r="J558"/>
      <c r="K558"/>
      <c r="L558"/>
      <c r="M558"/>
      <c r="N558"/>
      <c r="O558"/>
      <c r="P558"/>
      <c r="Q558"/>
      <c r="R558"/>
      <c r="S558"/>
      <c r="T558"/>
      <c r="U558"/>
      <c r="V558"/>
      <c r="W558"/>
      <c r="X558"/>
      <c r="Y558"/>
      <c r="Z558"/>
      <c r="AA558"/>
      <c r="AB558"/>
      <c r="AC558"/>
      <c r="AD558"/>
      <c r="AE558"/>
      <c r="AF558"/>
      <c r="AG558"/>
      <c r="AH558"/>
      <c r="AI558"/>
    </row>
    <row r="559" spans="1:35" s="33" customFormat="1" ht="15.75">
      <c r="A559" s="175"/>
      <c r="B559" s="163"/>
      <c r="C559" s="123"/>
      <c r="D559" s="123"/>
      <c r="E559" s="32"/>
      <c r="F559"/>
      <c r="G559"/>
      <c r="H559"/>
      <c r="I559"/>
      <c r="J559"/>
      <c r="K559"/>
      <c r="L559"/>
      <c r="M559"/>
      <c r="N559"/>
      <c r="O559"/>
      <c r="P559"/>
      <c r="Q559"/>
      <c r="R559"/>
      <c r="S559"/>
      <c r="T559"/>
      <c r="U559"/>
      <c r="V559"/>
      <c r="W559"/>
      <c r="X559"/>
      <c r="Y559"/>
      <c r="Z559"/>
      <c r="AA559"/>
      <c r="AB559"/>
      <c r="AC559"/>
      <c r="AD559"/>
      <c r="AE559"/>
      <c r="AF559"/>
      <c r="AG559"/>
      <c r="AH559"/>
      <c r="AI559"/>
    </row>
    <row r="560" spans="1:35" s="33" customFormat="1" ht="15.75">
      <c r="A560" s="175"/>
      <c r="B560" s="163"/>
      <c r="C560" s="123"/>
      <c r="D560" s="123"/>
      <c r="E560" s="32"/>
      <c r="F560"/>
      <c r="G560"/>
      <c r="H560"/>
      <c r="I560"/>
      <c r="J560"/>
      <c r="K560"/>
      <c r="L560"/>
      <c r="M560"/>
      <c r="N560"/>
      <c r="O560"/>
      <c r="P560"/>
      <c r="Q560"/>
      <c r="R560"/>
      <c r="S560"/>
      <c r="T560"/>
      <c r="U560"/>
      <c r="V560"/>
      <c r="W560"/>
      <c r="X560"/>
      <c r="Y560"/>
      <c r="Z560"/>
      <c r="AA560"/>
      <c r="AB560"/>
      <c r="AC560"/>
      <c r="AD560"/>
      <c r="AE560"/>
      <c r="AF560"/>
      <c r="AG560"/>
      <c r="AH560"/>
      <c r="AI560"/>
    </row>
    <row r="561" spans="1:35" s="33" customFormat="1" ht="15.75">
      <c r="A561" s="175"/>
      <c r="B561" s="163"/>
      <c r="C561" s="123"/>
      <c r="D561" s="123"/>
      <c r="E561" s="32"/>
      <c r="F561"/>
      <c r="G561"/>
      <c r="H561"/>
      <c r="I561"/>
      <c r="J561"/>
      <c r="K561"/>
      <c r="L561"/>
      <c r="M561"/>
      <c r="N561"/>
      <c r="O561"/>
      <c r="P561"/>
      <c r="Q561"/>
      <c r="R561"/>
      <c r="S561"/>
      <c r="T561"/>
      <c r="U561"/>
      <c r="V561"/>
      <c r="W561"/>
      <c r="X561"/>
      <c r="Y561"/>
      <c r="Z561"/>
      <c r="AA561"/>
      <c r="AB561"/>
      <c r="AC561"/>
      <c r="AD561"/>
      <c r="AE561"/>
      <c r="AF561"/>
      <c r="AG561"/>
      <c r="AH561"/>
      <c r="AI561"/>
    </row>
    <row r="562" spans="1:35" s="33" customFormat="1" ht="15.75">
      <c r="A562" s="175"/>
      <c r="B562" s="163"/>
      <c r="C562" s="123"/>
      <c r="D562" s="123"/>
      <c r="E562" s="32"/>
      <c r="F562"/>
      <c r="G562"/>
      <c r="H562"/>
      <c r="I562"/>
      <c r="J562"/>
      <c r="K562"/>
      <c r="L562"/>
      <c r="M562"/>
      <c r="N562"/>
      <c r="O562"/>
      <c r="P562"/>
      <c r="Q562"/>
      <c r="R562"/>
      <c r="S562"/>
      <c r="T562"/>
      <c r="U562"/>
      <c r="V562"/>
      <c r="W562"/>
      <c r="X562"/>
      <c r="Y562"/>
      <c r="Z562"/>
      <c r="AA562"/>
      <c r="AB562"/>
      <c r="AC562"/>
      <c r="AD562"/>
      <c r="AE562"/>
      <c r="AF562"/>
      <c r="AG562"/>
      <c r="AH562"/>
      <c r="AI562"/>
    </row>
    <row r="563" spans="1:35" s="33" customFormat="1" ht="15.75">
      <c r="A563" s="175"/>
      <c r="B563" s="163"/>
      <c r="C563" s="123"/>
      <c r="D563" s="123"/>
      <c r="E563" s="32"/>
      <c r="F563"/>
      <c r="G563"/>
      <c r="H563"/>
      <c r="I563"/>
      <c r="J563"/>
      <c r="K563"/>
      <c r="L563"/>
      <c r="M563"/>
      <c r="N563"/>
      <c r="O563"/>
      <c r="P563"/>
      <c r="Q563"/>
      <c r="R563"/>
      <c r="S563"/>
      <c r="T563"/>
      <c r="U563"/>
      <c r="V563"/>
      <c r="W563"/>
      <c r="X563"/>
      <c r="Y563"/>
      <c r="Z563"/>
      <c r="AA563"/>
      <c r="AB563"/>
      <c r="AC563"/>
      <c r="AD563"/>
      <c r="AE563"/>
      <c r="AF563"/>
      <c r="AG563"/>
      <c r="AH563"/>
      <c r="AI563"/>
    </row>
    <row r="564" spans="1:35" s="33" customFormat="1" ht="15.75">
      <c r="A564" s="175"/>
      <c r="B564" s="163"/>
      <c r="C564" s="123"/>
      <c r="D564" s="123"/>
      <c r="E564" s="32"/>
      <c r="F564"/>
      <c r="G564"/>
      <c r="H564"/>
      <c r="I564"/>
      <c r="J564"/>
      <c r="K564"/>
      <c r="L564"/>
      <c r="M564"/>
      <c r="N564"/>
      <c r="O564"/>
      <c r="P564"/>
      <c r="Q564"/>
      <c r="R564"/>
      <c r="S564"/>
      <c r="T564"/>
      <c r="U564"/>
      <c r="V564"/>
      <c r="W564"/>
      <c r="X564"/>
      <c r="Y564"/>
      <c r="Z564"/>
      <c r="AA564"/>
      <c r="AB564"/>
      <c r="AC564"/>
      <c r="AD564"/>
      <c r="AE564"/>
      <c r="AF564"/>
      <c r="AG564"/>
      <c r="AH564"/>
      <c r="AI564"/>
    </row>
    <row r="565" spans="1:35" s="33" customFormat="1" ht="15.75">
      <c r="A565" s="175"/>
      <c r="B565" s="163"/>
      <c r="C565" s="123"/>
      <c r="D565" s="123"/>
      <c r="E565" s="32"/>
      <c r="F565"/>
      <c r="G565"/>
      <c r="H565"/>
      <c r="I565"/>
      <c r="J565"/>
      <c r="K565"/>
      <c r="L565"/>
      <c r="M565"/>
      <c r="N565"/>
      <c r="O565"/>
      <c r="P565"/>
      <c r="Q565"/>
      <c r="R565"/>
      <c r="S565"/>
      <c r="T565"/>
      <c r="U565"/>
      <c r="V565"/>
      <c r="W565"/>
      <c r="X565"/>
      <c r="Y565"/>
      <c r="Z565"/>
      <c r="AA565"/>
      <c r="AB565"/>
      <c r="AC565"/>
      <c r="AD565"/>
      <c r="AE565"/>
      <c r="AF565"/>
      <c r="AG565"/>
      <c r="AH565"/>
      <c r="AI565"/>
    </row>
    <row r="566" spans="1:35" s="33" customFormat="1" ht="15.75">
      <c r="A566" s="175"/>
      <c r="B566" s="163"/>
      <c r="C566" s="123"/>
      <c r="D566" s="123"/>
      <c r="E566" s="32"/>
      <c r="F566"/>
      <c r="G566"/>
      <c r="H566"/>
      <c r="I566"/>
      <c r="J566"/>
      <c r="K566"/>
      <c r="L566"/>
      <c r="M566"/>
      <c r="N566"/>
      <c r="O566"/>
      <c r="P566"/>
      <c r="Q566"/>
      <c r="R566"/>
      <c r="S566"/>
      <c r="T566"/>
      <c r="U566"/>
      <c r="V566"/>
      <c r="W566"/>
      <c r="X566"/>
      <c r="Y566"/>
      <c r="Z566"/>
      <c r="AA566"/>
      <c r="AB566"/>
      <c r="AC566"/>
      <c r="AD566"/>
      <c r="AE566"/>
      <c r="AF566"/>
      <c r="AG566"/>
      <c r="AH566"/>
      <c r="AI566"/>
    </row>
    <row r="567" spans="1:35" s="33" customFormat="1" ht="15.75">
      <c r="A567" s="175"/>
      <c r="B567" s="163"/>
      <c r="C567" s="123"/>
      <c r="D567" s="123"/>
      <c r="E567" s="32"/>
      <c r="F567"/>
      <c r="G567"/>
      <c r="H567"/>
      <c r="I567"/>
      <c r="J567"/>
      <c r="K567"/>
      <c r="L567"/>
      <c r="M567"/>
      <c r="N567"/>
      <c r="O567"/>
      <c r="P567"/>
      <c r="Q567"/>
      <c r="R567"/>
      <c r="S567"/>
      <c r="T567"/>
      <c r="U567"/>
      <c r="V567"/>
      <c r="W567"/>
      <c r="X567"/>
      <c r="Y567"/>
      <c r="Z567"/>
      <c r="AA567"/>
      <c r="AB567"/>
      <c r="AC567"/>
      <c r="AD567"/>
      <c r="AE567"/>
      <c r="AF567"/>
      <c r="AG567"/>
      <c r="AH567"/>
      <c r="AI567"/>
    </row>
    <row r="568" spans="1:35" s="33" customFormat="1" ht="15.75">
      <c r="A568" s="175"/>
      <c r="B568" s="163"/>
      <c r="C568" s="123"/>
      <c r="D568" s="123"/>
      <c r="E568" s="32"/>
      <c r="F568"/>
      <c r="G568"/>
      <c r="H568"/>
      <c r="I568"/>
      <c r="J568"/>
      <c r="K568"/>
      <c r="L568"/>
      <c r="M568"/>
      <c r="N568"/>
      <c r="O568"/>
      <c r="P568"/>
      <c r="Q568"/>
      <c r="R568"/>
      <c r="S568"/>
      <c r="T568"/>
      <c r="U568"/>
      <c r="V568"/>
      <c r="W568"/>
      <c r="X568"/>
      <c r="Y568"/>
      <c r="Z568"/>
      <c r="AA568"/>
      <c r="AB568"/>
      <c r="AC568"/>
      <c r="AD568"/>
      <c r="AE568"/>
      <c r="AF568"/>
      <c r="AG568"/>
      <c r="AH568"/>
      <c r="AI568"/>
    </row>
    <row r="569" spans="1:35" s="33" customFormat="1" ht="15.75">
      <c r="A569" s="175"/>
      <c r="B569" s="163"/>
      <c r="C569" s="123"/>
      <c r="D569" s="123"/>
      <c r="E569" s="32"/>
      <c r="F569"/>
      <c r="G569"/>
      <c r="H569"/>
      <c r="I569"/>
      <c r="J569"/>
      <c r="K569"/>
      <c r="L569"/>
      <c r="M569"/>
      <c r="N569"/>
      <c r="O569"/>
      <c r="P569"/>
      <c r="Q569"/>
      <c r="R569"/>
      <c r="S569"/>
      <c r="T569"/>
      <c r="U569"/>
      <c r="V569"/>
      <c r="W569"/>
      <c r="X569"/>
      <c r="Y569"/>
      <c r="Z569"/>
      <c r="AA569"/>
      <c r="AB569"/>
      <c r="AC569"/>
      <c r="AD569"/>
      <c r="AE569"/>
      <c r="AF569"/>
      <c r="AG569"/>
      <c r="AH569"/>
      <c r="AI569"/>
    </row>
    <row r="570" spans="1:35" s="33" customFormat="1" ht="15.75">
      <c r="A570" s="175"/>
      <c r="B570" s="163"/>
      <c r="C570" s="123"/>
      <c r="D570" s="123"/>
      <c r="E570" s="32"/>
      <c r="F570"/>
      <c r="G570"/>
      <c r="H570"/>
      <c r="I570"/>
      <c r="J570"/>
      <c r="K570"/>
      <c r="L570"/>
      <c r="M570"/>
      <c r="N570"/>
      <c r="O570"/>
      <c r="P570"/>
      <c r="Q570"/>
      <c r="R570"/>
      <c r="S570"/>
      <c r="T570"/>
      <c r="U570"/>
      <c r="V570"/>
      <c r="W570"/>
      <c r="X570"/>
      <c r="Y570"/>
      <c r="Z570"/>
      <c r="AA570"/>
      <c r="AB570"/>
      <c r="AC570"/>
      <c r="AD570"/>
      <c r="AE570"/>
      <c r="AF570"/>
      <c r="AG570"/>
      <c r="AH570"/>
      <c r="AI570"/>
    </row>
    <row r="571" spans="1:35" s="33" customFormat="1" ht="15.75">
      <c r="A571" s="175"/>
      <c r="B571" s="163"/>
      <c r="C571" s="123"/>
      <c r="D571" s="123"/>
      <c r="E571" s="32"/>
      <c r="F571"/>
      <c r="G571"/>
      <c r="H571"/>
      <c r="I571"/>
      <c r="J571"/>
      <c r="K571"/>
      <c r="L571"/>
      <c r="M571"/>
      <c r="N571"/>
      <c r="O571"/>
      <c r="P571"/>
      <c r="Q571"/>
      <c r="R571"/>
      <c r="S571"/>
      <c r="T571"/>
      <c r="U571"/>
      <c r="V571"/>
      <c r="W571"/>
      <c r="X571"/>
      <c r="Y571"/>
      <c r="Z571"/>
      <c r="AA571"/>
      <c r="AB571"/>
      <c r="AC571"/>
      <c r="AD571"/>
      <c r="AE571"/>
      <c r="AF571"/>
      <c r="AG571"/>
      <c r="AH571"/>
      <c r="AI571"/>
    </row>
    <row r="572" spans="1:35" s="33" customFormat="1" ht="15.75">
      <c r="A572" s="175"/>
      <c r="B572" s="163"/>
      <c r="C572" s="123"/>
      <c r="D572" s="123"/>
      <c r="E572" s="32"/>
      <c r="F572"/>
      <c r="G572"/>
      <c r="H572"/>
      <c r="I572"/>
      <c r="J572"/>
      <c r="K572"/>
      <c r="L572"/>
      <c r="M572"/>
      <c r="N572"/>
      <c r="O572"/>
      <c r="P572"/>
      <c r="Q572"/>
      <c r="R572"/>
      <c r="S572"/>
      <c r="T572"/>
      <c r="U572"/>
      <c r="V572"/>
      <c r="W572"/>
      <c r="X572"/>
      <c r="Y572"/>
      <c r="Z572"/>
      <c r="AA572"/>
      <c r="AB572"/>
      <c r="AC572"/>
      <c r="AD572"/>
      <c r="AE572"/>
      <c r="AF572"/>
      <c r="AG572"/>
      <c r="AH572"/>
      <c r="AI572"/>
    </row>
    <row r="573" spans="1:35" s="33" customFormat="1" ht="15.75">
      <c r="A573" s="175"/>
      <c r="B573" s="163"/>
      <c r="C573" s="123"/>
      <c r="D573" s="123"/>
      <c r="E573" s="32"/>
      <c r="F573"/>
      <c r="G573"/>
      <c r="H573"/>
      <c r="I573"/>
      <c r="J573"/>
      <c r="K573"/>
      <c r="L573"/>
      <c r="M573"/>
      <c r="N573"/>
      <c r="O573"/>
      <c r="P573"/>
      <c r="Q573"/>
      <c r="R573"/>
      <c r="S573"/>
      <c r="T573"/>
      <c r="U573"/>
      <c r="V573"/>
      <c r="W573"/>
      <c r="X573"/>
      <c r="Y573"/>
      <c r="Z573"/>
      <c r="AA573"/>
      <c r="AB573"/>
      <c r="AC573"/>
      <c r="AD573"/>
      <c r="AE573"/>
      <c r="AF573"/>
      <c r="AG573"/>
      <c r="AH573"/>
      <c r="AI573"/>
    </row>
    <row r="574" spans="1:35" s="33" customFormat="1" ht="15.75">
      <c r="A574" s="175"/>
      <c r="B574" s="163"/>
      <c r="C574" s="123"/>
      <c r="D574" s="123"/>
      <c r="E574" s="32"/>
      <c r="F574"/>
      <c r="G574"/>
      <c r="H574"/>
      <c r="I574"/>
      <c r="J574"/>
      <c r="K574"/>
      <c r="L574"/>
      <c r="M574"/>
      <c r="N574"/>
      <c r="O574"/>
      <c r="P574"/>
      <c r="Q574"/>
      <c r="R574"/>
      <c r="S574"/>
      <c r="T574"/>
      <c r="U574"/>
      <c r="V574"/>
      <c r="W574"/>
      <c r="X574"/>
      <c r="Y574"/>
      <c r="Z574"/>
      <c r="AA574"/>
      <c r="AB574"/>
      <c r="AC574"/>
      <c r="AD574"/>
      <c r="AE574"/>
      <c r="AF574"/>
      <c r="AG574"/>
      <c r="AH574"/>
      <c r="AI574"/>
    </row>
    <row r="575" spans="1:35" s="33" customFormat="1" ht="15.75">
      <c r="A575" s="175"/>
      <c r="B575" s="163"/>
      <c r="C575" s="123"/>
      <c r="D575" s="123"/>
      <c r="E575" s="32"/>
      <c r="F575"/>
      <c r="G575"/>
      <c r="H575"/>
      <c r="I575"/>
      <c r="J575"/>
      <c r="K575"/>
      <c r="L575"/>
      <c r="M575"/>
      <c r="N575"/>
      <c r="O575"/>
      <c r="P575"/>
      <c r="Q575"/>
      <c r="R575"/>
      <c r="S575"/>
      <c r="T575"/>
      <c r="U575"/>
      <c r="V575"/>
      <c r="W575"/>
      <c r="X575"/>
      <c r="Y575"/>
      <c r="Z575"/>
      <c r="AA575"/>
      <c r="AB575"/>
      <c r="AC575"/>
      <c r="AD575"/>
      <c r="AE575"/>
      <c r="AF575"/>
      <c r="AG575"/>
      <c r="AH575"/>
      <c r="AI575"/>
    </row>
    <row r="576" spans="1:35" s="33" customFormat="1" ht="15.75">
      <c r="A576" s="175"/>
      <c r="B576" s="163"/>
      <c r="C576" s="123"/>
      <c r="D576" s="123"/>
      <c r="E576" s="32"/>
      <c r="F576"/>
      <c r="G576"/>
      <c r="H576"/>
      <c r="I576"/>
      <c r="J576"/>
      <c r="K576"/>
      <c r="L576"/>
      <c r="M576"/>
      <c r="N576"/>
      <c r="O576"/>
      <c r="P576"/>
      <c r="Q576"/>
      <c r="R576"/>
      <c r="S576"/>
      <c r="T576"/>
      <c r="U576"/>
      <c r="V576"/>
      <c r="W576"/>
      <c r="X576"/>
      <c r="Y576"/>
      <c r="Z576"/>
      <c r="AA576"/>
      <c r="AB576"/>
      <c r="AC576"/>
      <c r="AD576"/>
      <c r="AE576"/>
      <c r="AF576"/>
      <c r="AG576"/>
      <c r="AH576"/>
      <c r="AI576"/>
    </row>
    <row r="577" spans="1:35" s="33" customFormat="1" ht="15.75">
      <c r="A577" s="175"/>
      <c r="B577" s="163"/>
      <c r="C577" s="123"/>
      <c r="D577" s="123"/>
      <c r="E577" s="32"/>
      <c r="F577"/>
      <c r="G577"/>
      <c r="H577"/>
      <c r="I577"/>
      <c r="J577"/>
      <c r="K577"/>
      <c r="L577"/>
      <c r="M577"/>
      <c r="N577"/>
      <c r="O577"/>
      <c r="P577"/>
      <c r="Q577"/>
      <c r="R577"/>
      <c r="S577"/>
      <c r="T577"/>
      <c r="U577"/>
      <c r="V577"/>
      <c r="W577"/>
      <c r="X577"/>
      <c r="Y577"/>
      <c r="Z577"/>
      <c r="AA577"/>
      <c r="AB577"/>
      <c r="AC577"/>
      <c r="AD577"/>
      <c r="AE577"/>
      <c r="AF577"/>
      <c r="AG577"/>
      <c r="AH577"/>
      <c r="AI577"/>
    </row>
    <row r="578" spans="1:35" s="33" customFormat="1" ht="15.75">
      <c r="A578" s="175"/>
      <c r="B578" s="163"/>
      <c r="C578" s="123"/>
      <c r="D578" s="123"/>
      <c r="E578" s="32"/>
      <c r="F578"/>
      <c r="G578"/>
      <c r="H578"/>
      <c r="I578"/>
      <c r="J578"/>
      <c r="K578"/>
      <c r="L578"/>
      <c r="M578"/>
      <c r="N578"/>
      <c r="O578"/>
      <c r="P578"/>
      <c r="Q578"/>
      <c r="R578"/>
      <c r="S578"/>
      <c r="T578"/>
      <c r="U578"/>
      <c r="V578"/>
      <c r="W578"/>
      <c r="X578"/>
      <c r="Y578"/>
      <c r="Z578"/>
      <c r="AA578"/>
      <c r="AB578"/>
      <c r="AC578"/>
      <c r="AD578"/>
      <c r="AE578"/>
      <c r="AF578"/>
      <c r="AG578"/>
      <c r="AH578"/>
      <c r="AI578"/>
    </row>
    <row r="579" spans="1:35" s="33" customFormat="1" ht="15.75">
      <c r="A579" s="175"/>
      <c r="B579" s="163"/>
      <c r="C579" s="123"/>
      <c r="D579" s="123"/>
      <c r="E579" s="32"/>
      <c r="F579"/>
      <c r="G579"/>
      <c r="H579"/>
      <c r="I579"/>
      <c r="J579"/>
      <c r="K579"/>
      <c r="L579"/>
      <c r="M579"/>
      <c r="N579"/>
      <c r="O579"/>
      <c r="P579"/>
      <c r="Q579"/>
      <c r="R579"/>
      <c r="S579"/>
      <c r="T579"/>
      <c r="U579"/>
      <c r="V579"/>
      <c r="W579"/>
      <c r="X579"/>
      <c r="Y579"/>
      <c r="Z579"/>
      <c r="AA579"/>
      <c r="AB579"/>
      <c r="AC579"/>
      <c r="AD579"/>
      <c r="AE579"/>
      <c r="AF579"/>
      <c r="AG579"/>
      <c r="AH579"/>
      <c r="AI579"/>
    </row>
    <row r="580" spans="1:35" s="33" customFormat="1" ht="15.75">
      <c r="A580" s="175"/>
      <c r="B580" s="163"/>
      <c r="C580" s="123"/>
      <c r="D580" s="123"/>
      <c r="E580" s="32"/>
      <c r="F580"/>
      <c r="G580"/>
      <c r="H580"/>
      <c r="I580"/>
      <c r="J580"/>
      <c r="K580"/>
      <c r="L580"/>
      <c r="M580"/>
      <c r="N580"/>
      <c r="O580"/>
      <c r="P580"/>
      <c r="Q580"/>
      <c r="R580"/>
      <c r="S580"/>
      <c r="T580"/>
      <c r="U580"/>
      <c r="V580"/>
      <c r="W580"/>
      <c r="X580"/>
      <c r="Y580"/>
      <c r="Z580"/>
      <c r="AA580"/>
      <c r="AB580"/>
      <c r="AC580"/>
      <c r="AD580"/>
      <c r="AE580"/>
      <c r="AF580"/>
      <c r="AG580"/>
      <c r="AH580"/>
      <c r="AI580"/>
    </row>
    <row r="581" spans="1:35" s="33" customFormat="1" ht="15.75">
      <c r="A581" s="175"/>
      <c r="B581" s="163"/>
      <c r="C581" s="123"/>
      <c r="D581" s="123"/>
      <c r="E581" s="32"/>
      <c r="F581"/>
      <c r="G581"/>
      <c r="H581"/>
      <c r="I581"/>
      <c r="J581"/>
      <c r="K581"/>
      <c r="L581"/>
      <c r="M581"/>
      <c r="N581"/>
      <c r="O581"/>
      <c r="P581"/>
      <c r="Q581"/>
      <c r="R581"/>
      <c r="S581"/>
      <c r="T581"/>
      <c r="U581"/>
      <c r="V581"/>
      <c r="W581"/>
      <c r="X581"/>
      <c r="Y581"/>
      <c r="Z581"/>
      <c r="AA581"/>
      <c r="AB581"/>
      <c r="AC581"/>
      <c r="AD581"/>
      <c r="AE581"/>
      <c r="AF581"/>
      <c r="AG581"/>
      <c r="AH581"/>
      <c r="AI581"/>
    </row>
    <row r="582" spans="1:35" s="33" customFormat="1" ht="15.75">
      <c r="A582" s="175"/>
      <c r="B582" s="163"/>
      <c r="C582" s="123"/>
      <c r="D582" s="123"/>
      <c r="E582" s="32"/>
      <c r="F582"/>
      <c r="G582"/>
      <c r="H582"/>
      <c r="I582"/>
      <c r="J582"/>
      <c r="K582"/>
      <c r="L582"/>
      <c r="M582"/>
      <c r="N582"/>
      <c r="O582"/>
      <c r="P582"/>
      <c r="Q582"/>
      <c r="R582"/>
      <c r="S582"/>
      <c r="T582"/>
      <c r="U582"/>
      <c r="V582"/>
      <c r="W582"/>
      <c r="X582"/>
      <c r="Y582"/>
      <c r="Z582"/>
      <c r="AA582"/>
      <c r="AB582"/>
      <c r="AC582"/>
      <c r="AD582"/>
      <c r="AE582"/>
      <c r="AF582"/>
      <c r="AG582"/>
      <c r="AH582"/>
      <c r="AI582"/>
    </row>
    <row r="583" spans="1:35" s="33" customFormat="1" ht="15.75">
      <c r="A583" s="175"/>
      <c r="B583" s="163"/>
      <c r="C583" s="123"/>
      <c r="D583" s="123"/>
      <c r="E583" s="32"/>
      <c r="F583"/>
      <c r="G583"/>
      <c r="H583"/>
      <c r="I583"/>
      <c r="J583"/>
      <c r="K583"/>
      <c r="L583"/>
      <c r="M583"/>
      <c r="N583"/>
      <c r="O583"/>
      <c r="P583"/>
      <c r="Q583"/>
      <c r="R583"/>
      <c r="S583"/>
      <c r="T583"/>
      <c r="U583"/>
      <c r="V583"/>
      <c r="W583"/>
      <c r="X583"/>
      <c r="Y583"/>
      <c r="Z583"/>
      <c r="AA583"/>
      <c r="AB583"/>
      <c r="AC583"/>
      <c r="AD583"/>
      <c r="AE583"/>
      <c r="AF583"/>
      <c r="AG583"/>
      <c r="AH583"/>
      <c r="AI583"/>
    </row>
    <row r="584" spans="1:35" s="33" customFormat="1" ht="15.75">
      <c r="A584" s="175"/>
      <c r="B584" s="163"/>
      <c r="C584" s="123"/>
      <c r="D584" s="123"/>
      <c r="E584" s="32"/>
      <c r="F584"/>
      <c r="G584"/>
      <c r="H584"/>
      <c r="I584"/>
      <c r="J584"/>
      <c r="K584"/>
      <c r="L584"/>
      <c r="M584"/>
      <c r="N584"/>
      <c r="O584"/>
      <c r="P584"/>
      <c r="Q584"/>
      <c r="R584"/>
      <c r="S584"/>
      <c r="T584"/>
      <c r="U584"/>
      <c r="V584"/>
      <c r="W584"/>
      <c r="X584"/>
      <c r="Y584"/>
      <c r="Z584"/>
      <c r="AA584"/>
      <c r="AB584"/>
      <c r="AC584"/>
      <c r="AD584"/>
      <c r="AE584"/>
      <c r="AF584"/>
      <c r="AG584"/>
      <c r="AH584"/>
      <c r="AI584"/>
    </row>
    <row r="585" spans="1:35" s="33" customFormat="1" ht="15.75">
      <c r="A585" s="175"/>
      <c r="B585" s="163"/>
      <c r="C585" s="123"/>
      <c r="D585" s="123"/>
      <c r="E585" s="32"/>
      <c r="F585"/>
      <c r="G585"/>
      <c r="H585"/>
      <c r="I585"/>
      <c r="J585"/>
      <c r="K585"/>
      <c r="L585"/>
      <c r="M585"/>
      <c r="N585"/>
      <c r="O585"/>
      <c r="P585"/>
      <c r="Q585"/>
      <c r="R585"/>
      <c r="S585"/>
      <c r="T585"/>
      <c r="U585"/>
      <c r="V585"/>
      <c r="W585"/>
      <c r="X585"/>
      <c r="Y585"/>
      <c r="Z585"/>
      <c r="AA585"/>
      <c r="AB585"/>
      <c r="AC585"/>
      <c r="AD585"/>
      <c r="AE585"/>
      <c r="AF585"/>
      <c r="AG585"/>
      <c r="AH585"/>
      <c r="AI585"/>
    </row>
    <row r="586" spans="1:35" s="33" customFormat="1" ht="15.75">
      <c r="A586" s="175"/>
      <c r="B586" s="163"/>
      <c r="C586" s="123"/>
      <c r="D586" s="123"/>
      <c r="E586" s="32"/>
      <c r="F586"/>
      <c r="G586"/>
      <c r="H586"/>
      <c r="I586"/>
      <c r="J586"/>
      <c r="K586"/>
      <c r="L586"/>
      <c r="M586"/>
      <c r="N586"/>
      <c r="O586"/>
      <c r="P586"/>
      <c r="Q586"/>
      <c r="R586"/>
      <c r="S586"/>
      <c r="T586"/>
      <c r="U586"/>
      <c r="V586"/>
      <c r="W586"/>
      <c r="X586"/>
      <c r="Y586"/>
      <c r="Z586"/>
      <c r="AA586"/>
      <c r="AB586"/>
      <c r="AC586"/>
      <c r="AD586"/>
      <c r="AE586"/>
      <c r="AF586"/>
      <c r="AG586"/>
      <c r="AH586"/>
      <c r="AI586"/>
    </row>
    <row r="587" spans="1:35" s="33" customFormat="1" ht="15.75">
      <c r="A587" s="175"/>
      <c r="B587" s="163"/>
      <c r="C587" s="123"/>
      <c r="D587" s="123"/>
      <c r="E587" s="32"/>
      <c r="F587"/>
      <c r="G587"/>
      <c r="H587"/>
      <c r="I587"/>
      <c r="J587"/>
      <c r="K587"/>
      <c r="L587"/>
      <c r="M587"/>
      <c r="N587"/>
      <c r="O587"/>
      <c r="P587"/>
      <c r="Q587"/>
      <c r="R587"/>
      <c r="S587"/>
      <c r="T587"/>
      <c r="U587"/>
      <c r="V587"/>
      <c r="W587"/>
      <c r="X587"/>
      <c r="Y587"/>
      <c r="Z587"/>
      <c r="AA587"/>
      <c r="AB587"/>
      <c r="AC587"/>
      <c r="AD587"/>
      <c r="AE587"/>
      <c r="AF587"/>
      <c r="AG587"/>
      <c r="AH587"/>
      <c r="AI587"/>
    </row>
    <row r="588" spans="1:35" s="33" customFormat="1" ht="15.75">
      <c r="A588" s="175"/>
      <c r="B588" s="163"/>
      <c r="C588" s="123"/>
      <c r="D588" s="123"/>
      <c r="E588" s="32"/>
      <c r="F588"/>
      <c r="G588"/>
      <c r="H588"/>
      <c r="I588"/>
      <c r="J588"/>
      <c r="K588"/>
      <c r="L588"/>
      <c r="M588"/>
      <c r="N588"/>
      <c r="O588"/>
      <c r="P588"/>
      <c r="Q588"/>
      <c r="R588"/>
      <c r="S588"/>
      <c r="T588"/>
      <c r="U588"/>
      <c r="V588"/>
      <c r="W588"/>
      <c r="X588"/>
      <c r="Y588"/>
      <c r="Z588"/>
      <c r="AA588"/>
      <c r="AB588"/>
      <c r="AC588"/>
      <c r="AD588"/>
      <c r="AE588"/>
      <c r="AF588"/>
      <c r="AG588"/>
      <c r="AH588"/>
      <c r="AI588"/>
    </row>
    <row r="589" spans="1:35" s="33" customFormat="1" ht="15.75">
      <c r="A589" s="175"/>
      <c r="B589" s="163"/>
      <c r="C589" s="123"/>
      <c r="D589" s="123"/>
      <c r="E589" s="32"/>
      <c r="F589"/>
      <c r="G589"/>
      <c r="H589"/>
      <c r="I589"/>
      <c r="J589"/>
      <c r="K589"/>
      <c r="L589"/>
      <c r="M589"/>
      <c r="N589"/>
      <c r="O589"/>
      <c r="P589"/>
      <c r="Q589"/>
      <c r="R589"/>
      <c r="S589"/>
      <c r="T589"/>
      <c r="U589"/>
      <c r="V589"/>
      <c r="W589"/>
      <c r="X589"/>
      <c r="Y589"/>
      <c r="Z589"/>
      <c r="AA589"/>
      <c r="AB589"/>
      <c r="AC589"/>
      <c r="AD589"/>
      <c r="AE589"/>
      <c r="AF589"/>
      <c r="AG589"/>
      <c r="AH589"/>
      <c r="AI589"/>
    </row>
    <row r="590" spans="1:35" s="33" customFormat="1" ht="15.75">
      <c r="A590" s="175"/>
      <c r="B590" s="163"/>
      <c r="C590" s="123"/>
      <c r="D590" s="123"/>
      <c r="E590" s="32"/>
      <c r="F590"/>
      <c r="G590"/>
      <c r="H590"/>
      <c r="I590"/>
      <c r="J590"/>
      <c r="K590"/>
      <c r="L590"/>
      <c r="M590"/>
      <c r="N590"/>
      <c r="O590"/>
      <c r="P590"/>
      <c r="Q590"/>
      <c r="R590"/>
      <c r="S590"/>
      <c r="T590"/>
      <c r="U590"/>
      <c r="V590"/>
      <c r="W590"/>
      <c r="X590"/>
      <c r="Y590"/>
      <c r="Z590"/>
      <c r="AA590"/>
      <c r="AB590"/>
      <c r="AC590"/>
      <c r="AD590"/>
      <c r="AE590"/>
      <c r="AF590"/>
      <c r="AG590"/>
      <c r="AH590"/>
      <c r="AI590"/>
    </row>
    <row r="591" spans="1:35" s="33" customFormat="1" ht="15.75">
      <c r="A591" s="175"/>
      <c r="B591" s="163"/>
      <c r="C591" s="123"/>
      <c r="D591" s="123"/>
      <c r="E591" s="32"/>
      <c r="F591"/>
      <c r="G591"/>
      <c r="H591"/>
      <c r="I591"/>
      <c r="J591"/>
      <c r="K591"/>
      <c r="L591"/>
      <c r="M591"/>
      <c r="N591"/>
      <c r="O591"/>
      <c r="P591"/>
      <c r="Q591"/>
      <c r="R591"/>
      <c r="S591"/>
      <c r="T591"/>
      <c r="U591"/>
      <c r="V591"/>
      <c r="W591"/>
      <c r="X591"/>
      <c r="Y591"/>
      <c r="Z591"/>
      <c r="AA591"/>
      <c r="AB591"/>
      <c r="AC591"/>
      <c r="AD591"/>
      <c r="AE591"/>
      <c r="AF591"/>
      <c r="AG591"/>
      <c r="AH591"/>
      <c r="AI591"/>
    </row>
    <row r="592" spans="1:35" s="33" customFormat="1" ht="15.75">
      <c r="A592" s="175"/>
      <c r="B592" s="163"/>
      <c r="C592" s="123"/>
      <c r="D592" s="123"/>
      <c r="E592" s="32"/>
      <c r="F592"/>
      <c r="G592"/>
      <c r="H592"/>
      <c r="I592"/>
      <c r="J592"/>
      <c r="K592"/>
      <c r="L592"/>
      <c r="M592"/>
      <c r="N592"/>
      <c r="O592"/>
      <c r="P592"/>
      <c r="Q592"/>
      <c r="R592"/>
      <c r="S592"/>
      <c r="T592"/>
      <c r="U592"/>
      <c r="V592"/>
      <c r="W592"/>
      <c r="X592"/>
      <c r="Y592"/>
      <c r="Z592"/>
      <c r="AA592"/>
      <c r="AB592"/>
      <c r="AC592"/>
      <c r="AD592"/>
      <c r="AE592"/>
      <c r="AF592"/>
      <c r="AG592"/>
      <c r="AH592"/>
      <c r="AI592"/>
    </row>
    <row r="593" spans="1:35" s="33" customFormat="1" ht="15.75">
      <c r="A593" s="175"/>
      <c r="B593" s="163"/>
      <c r="C593" s="123"/>
      <c r="D593" s="123"/>
      <c r="E593" s="32"/>
      <c r="F593"/>
      <c r="G593"/>
      <c r="H593"/>
      <c r="I593"/>
      <c r="J593"/>
      <c r="K593"/>
      <c r="L593"/>
      <c r="M593"/>
      <c r="N593"/>
      <c r="O593"/>
      <c r="P593"/>
      <c r="Q593"/>
      <c r="R593"/>
      <c r="S593"/>
      <c r="T593"/>
      <c r="U593"/>
      <c r="V593"/>
      <c r="W593"/>
      <c r="X593"/>
      <c r="Y593"/>
      <c r="Z593"/>
      <c r="AA593"/>
      <c r="AB593"/>
      <c r="AC593"/>
      <c r="AD593"/>
      <c r="AE593"/>
      <c r="AF593"/>
      <c r="AG593"/>
      <c r="AH593"/>
      <c r="AI593"/>
    </row>
    <row r="594" spans="1:35" s="33" customFormat="1" ht="15.75">
      <c r="A594" s="175"/>
      <c r="B594" s="163"/>
      <c r="C594" s="123"/>
      <c r="D594" s="123"/>
      <c r="E594" s="32"/>
      <c r="F594"/>
      <c r="G594"/>
      <c r="H594"/>
      <c r="I594"/>
      <c r="J594"/>
      <c r="K594"/>
      <c r="L594"/>
      <c r="M594"/>
      <c r="N594"/>
      <c r="O594"/>
      <c r="P594"/>
      <c r="Q594"/>
      <c r="R594"/>
      <c r="S594"/>
      <c r="T594"/>
      <c r="U594"/>
      <c r="V594"/>
      <c r="W594"/>
      <c r="X594"/>
      <c r="Y594"/>
      <c r="Z594"/>
      <c r="AA594"/>
      <c r="AB594"/>
      <c r="AC594"/>
      <c r="AD594"/>
      <c r="AE594"/>
      <c r="AF594"/>
      <c r="AG594"/>
      <c r="AH594"/>
      <c r="AI594"/>
    </row>
    <row r="595" spans="1:35" s="33" customFormat="1" ht="15.75">
      <c r="A595" s="175"/>
      <c r="B595" s="163"/>
      <c r="C595" s="123"/>
      <c r="D595" s="123"/>
      <c r="E595" s="32"/>
      <c r="F595"/>
      <c r="G595"/>
      <c r="H595"/>
      <c r="I595"/>
      <c r="J595"/>
      <c r="K595"/>
      <c r="L595"/>
      <c r="M595"/>
      <c r="N595"/>
      <c r="O595"/>
      <c r="P595"/>
      <c r="Q595"/>
      <c r="R595"/>
      <c r="S595"/>
      <c r="T595"/>
      <c r="U595"/>
      <c r="V595"/>
      <c r="W595"/>
      <c r="X595"/>
      <c r="Y595"/>
      <c r="Z595"/>
      <c r="AA595"/>
      <c r="AB595"/>
      <c r="AC595"/>
      <c r="AD595"/>
      <c r="AE595"/>
      <c r="AF595"/>
      <c r="AG595"/>
      <c r="AH595"/>
      <c r="AI595"/>
    </row>
    <row r="596" spans="1:35" s="33" customFormat="1" ht="15.75">
      <c r="A596" s="175"/>
      <c r="B596" s="163"/>
      <c r="C596" s="123"/>
      <c r="D596" s="123"/>
      <c r="E596" s="32"/>
      <c r="F596"/>
      <c r="G596"/>
      <c r="H596"/>
      <c r="I596"/>
      <c r="J596"/>
      <c r="K596"/>
      <c r="L596"/>
      <c r="M596"/>
      <c r="N596"/>
      <c r="O596"/>
      <c r="P596"/>
      <c r="Q596"/>
      <c r="R596"/>
      <c r="S596"/>
      <c r="T596"/>
      <c r="U596"/>
      <c r="V596"/>
      <c r="W596"/>
      <c r="X596"/>
      <c r="Y596"/>
      <c r="Z596"/>
      <c r="AA596"/>
      <c r="AB596"/>
      <c r="AC596"/>
      <c r="AD596"/>
      <c r="AE596"/>
      <c r="AF596"/>
      <c r="AG596"/>
      <c r="AH596"/>
      <c r="AI596"/>
    </row>
    <row r="597" spans="1:35" s="33" customFormat="1" ht="15.75">
      <c r="A597" s="175"/>
      <c r="B597" s="163"/>
      <c r="C597" s="123"/>
      <c r="D597" s="123"/>
      <c r="E597" s="32"/>
      <c r="F597"/>
      <c r="G597"/>
      <c r="H597"/>
      <c r="I597"/>
      <c r="J597"/>
      <c r="K597"/>
      <c r="L597"/>
      <c r="M597"/>
      <c r="N597"/>
      <c r="O597"/>
      <c r="P597"/>
      <c r="Q597"/>
      <c r="R597"/>
      <c r="S597"/>
      <c r="T597"/>
      <c r="U597"/>
      <c r="V597"/>
      <c r="W597"/>
      <c r="X597"/>
      <c r="Y597"/>
      <c r="Z597"/>
      <c r="AA597"/>
      <c r="AB597"/>
      <c r="AC597"/>
      <c r="AD597"/>
      <c r="AE597"/>
      <c r="AF597"/>
      <c r="AG597"/>
      <c r="AH597"/>
      <c r="AI597"/>
    </row>
    <row r="598" spans="1:35" s="33" customFormat="1" ht="15.75">
      <c r="A598" s="175"/>
      <c r="B598" s="163"/>
      <c r="C598" s="123"/>
      <c r="D598" s="123"/>
      <c r="E598" s="32"/>
      <c r="F598"/>
      <c r="G598"/>
      <c r="H598"/>
      <c r="I598"/>
      <c r="J598"/>
      <c r="K598"/>
      <c r="L598"/>
      <c r="M598"/>
      <c r="N598"/>
      <c r="O598"/>
      <c r="P598"/>
      <c r="Q598"/>
      <c r="R598"/>
      <c r="S598"/>
      <c r="T598"/>
      <c r="U598"/>
      <c r="V598"/>
      <c r="W598"/>
      <c r="X598"/>
      <c r="Y598"/>
      <c r="Z598"/>
      <c r="AA598"/>
      <c r="AB598"/>
      <c r="AC598"/>
      <c r="AD598"/>
      <c r="AE598"/>
      <c r="AF598"/>
      <c r="AG598"/>
      <c r="AH598"/>
      <c r="AI598"/>
    </row>
    <row r="599" spans="1:35" s="33" customFormat="1" ht="15.75">
      <c r="A599" s="175"/>
      <c r="B599" s="163"/>
      <c r="C599" s="123"/>
      <c r="D599" s="123"/>
      <c r="E599" s="32"/>
      <c r="F599"/>
      <c r="G599"/>
      <c r="H599"/>
      <c r="I599"/>
      <c r="J599"/>
      <c r="K599"/>
      <c r="L599"/>
      <c r="M599"/>
      <c r="N599"/>
      <c r="O599"/>
      <c r="P599"/>
      <c r="Q599"/>
      <c r="R599"/>
      <c r="S599"/>
      <c r="T599"/>
      <c r="U599"/>
      <c r="V599"/>
      <c r="W599"/>
      <c r="X599"/>
      <c r="Y599"/>
      <c r="Z599"/>
      <c r="AA599"/>
      <c r="AB599"/>
      <c r="AC599"/>
      <c r="AD599"/>
      <c r="AE599"/>
      <c r="AF599"/>
      <c r="AG599"/>
      <c r="AH599"/>
      <c r="AI599"/>
    </row>
    <row r="600" spans="1:35" s="33" customFormat="1" ht="15.75">
      <c r="A600" s="175"/>
      <c r="B600" s="163"/>
      <c r="C600" s="123"/>
      <c r="D600" s="123"/>
      <c r="E600" s="32"/>
      <c r="F600"/>
      <c r="G600"/>
      <c r="H600"/>
      <c r="I600"/>
      <c r="J600"/>
      <c r="K600"/>
      <c r="L600"/>
      <c r="M600"/>
      <c r="N600"/>
      <c r="O600"/>
      <c r="P600"/>
      <c r="Q600"/>
      <c r="R600"/>
      <c r="S600"/>
      <c r="T600"/>
      <c r="U600"/>
      <c r="V600"/>
      <c r="W600"/>
      <c r="X600"/>
      <c r="Y600"/>
      <c r="Z600"/>
      <c r="AA600"/>
      <c r="AB600"/>
      <c r="AC600"/>
      <c r="AD600"/>
      <c r="AE600"/>
      <c r="AF600"/>
      <c r="AG600"/>
      <c r="AH600"/>
      <c r="AI600"/>
    </row>
    <row r="601" spans="1:35" s="33" customFormat="1" ht="15.75">
      <c r="A601" s="175"/>
      <c r="B601" s="163"/>
      <c r="C601" s="123"/>
      <c r="D601" s="123"/>
      <c r="E601" s="32"/>
      <c r="F601"/>
      <c r="G601"/>
      <c r="H601"/>
      <c r="I601"/>
      <c r="J601"/>
      <c r="K601"/>
      <c r="L601"/>
      <c r="M601"/>
      <c r="N601"/>
      <c r="O601"/>
      <c r="P601"/>
      <c r="Q601"/>
      <c r="R601"/>
      <c r="S601"/>
      <c r="T601"/>
      <c r="U601"/>
      <c r="V601"/>
      <c r="W601"/>
      <c r="X601"/>
      <c r="Y601"/>
      <c r="Z601"/>
      <c r="AA601"/>
      <c r="AB601"/>
      <c r="AC601"/>
      <c r="AD601"/>
      <c r="AE601"/>
      <c r="AF601"/>
      <c r="AG601"/>
      <c r="AH601"/>
      <c r="AI601"/>
    </row>
    <row r="602" spans="1:35" s="33" customFormat="1" ht="15.75">
      <c r="A602" s="175"/>
      <c r="B602" s="163"/>
      <c r="C602" s="123"/>
      <c r="D602" s="123"/>
      <c r="E602" s="32"/>
      <c r="F602"/>
      <c r="G602"/>
      <c r="H602"/>
      <c r="I602"/>
      <c r="J602"/>
      <c r="K602"/>
      <c r="L602"/>
      <c r="M602"/>
      <c r="N602"/>
      <c r="O602"/>
      <c r="P602"/>
      <c r="Q602"/>
      <c r="R602"/>
      <c r="S602"/>
      <c r="T602"/>
      <c r="U602"/>
      <c r="V602"/>
      <c r="W602"/>
      <c r="X602"/>
      <c r="Y602"/>
      <c r="Z602"/>
      <c r="AA602"/>
      <c r="AB602"/>
      <c r="AC602"/>
      <c r="AD602"/>
      <c r="AE602"/>
      <c r="AF602"/>
      <c r="AG602"/>
      <c r="AH602"/>
      <c r="AI602"/>
    </row>
    <row r="603" spans="1:35" s="33" customFormat="1" ht="15.75">
      <c r="A603" s="175"/>
      <c r="B603" s="163"/>
      <c r="C603" s="123"/>
      <c r="D603" s="123"/>
      <c r="E603" s="32"/>
      <c r="F603"/>
      <c r="G603"/>
      <c r="H603"/>
      <c r="I603"/>
      <c r="J603"/>
      <c r="K603"/>
      <c r="L603"/>
      <c r="M603"/>
      <c r="N603"/>
      <c r="O603"/>
      <c r="P603"/>
      <c r="Q603"/>
      <c r="R603"/>
      <c r="S603"/>
      <c r="T603"/>
      <c r="U603"/>
      <c r="V603"/>
      <c r="W603"/>
      <c r="X603"/>
      <c r="Y603"/>
      <c r="Z603"/>
      <c r="AA603"/>
      <c r="AB603"/>
      <c r="AC603"/>
      <c r="AD603"/>
      <c r="AE603"/>
      <c r="AF603"/>
      <c r="AG603"/>
      <c r="AH603"/>
      <c r="AI603"/>
    </row>
    <row r="604" spans="1:35" s="33" customFormat="1" ht="15.75">
      <c r="A604" s="175"/>
      <c r="B604" s="163"/>
      <c r="C604" s="123"/>
      <c r="D604" s="123"/>
      <c r="E604" s="32"/>
      <c r="F604"/>
      <c r="G604"/>
      <c r="H604"/>
      <c r="I604"/>
      <c r="J604"/>
      <c r="K604"/>
      <c r="L604"/>
      <c r="M604"/>
      <c r="N604"/>
      <c r="O604"/>
      <c r="P604"/>
      <c r="Q604"/>
      <c r="R604"/>
      <c r="S604"/>
      <c r="T604"/>
      <c r="U604"/>
      <c r="V604"/>
      <c r="W604"/>
      <c r="X604"/>
      <c r="Y604"/>
      <c r="Z604"/>
      <c r="AA604"/>
      <c r="AB604"/>
      <c r="AC604"/>
      <c r="AD604"/>
      <c r="AE604"/>
      <c r="AF604"/>
      <c r="AG604"/>
      <c r="AH604"/>
      <c r="AI604"/>
    </row>
    <row r="605" spans="1:35" s="33" customFormat="1" ht="15.75">
      <c r="A605" s="175"/>
      <c r="B605" s="163"/>
      <c r="C605" s="123"/>
      <c r="D605" s="123"/>
      <c r="E605" s="32"/>
      <c r="F605"/>
      <c r="G605"/>
      <c r="H605"/>
      <c r="I605"/>
      <c r="J605"/>
      <c r="K605"/>
      <c r="L605"/>
      <c r="M605"/>
      <c r="N605"/>
      <c r="O605"/>
      <c r="P605"/>
      <c r="Q605"/>
      <c r="R605"/>
      <c r="S605"/>
      <c r="T605"/>
      <c r="U605"/>
      <c r="V605"/>
      <c r="W605"/>
      <c r="X605"/>
      <c r="Y605"/>
      <c r="Z605"/>
      <c r="AA605"/>
      <c r="AB605"/>
      <c r="AC605"/>
      <c r="AD605"/>
      <c r="AE605"/>
      <c r="AF605"/>
      <c r="AG605"/>
      <c r="AH605"/>
      <c r="AI605"/>
    </row>
    <row r="606" spans="1:35" s="33" customFormat="1" ht="15.75">
      <c r="A606" s="175"/>
      <c r="B606" s="163"/>
      <c r="C606" s="123"/>
      <c r="D606" s="123"/>
      <c r="E606" s="32"/>
      <c r="F606"/>
      <c r="G606"/>
      <c r="H606"/>
      <c r="I606"/>
      <c r="J606"/>
      <c r="K606"/>
      <c r="L606"/>
      <c r="M606"/>
      <c r="N606"/>
      <c r="O606"/>
      <c r="P606"/>
      <c r="Q606"/>
      <c r="R606"/>
      <c r="S606"/>
      <c r="T606"/>
      <c r="U606"/>
      <c r="V606"/>
      <c r="W606"/>
      <c r="X606"/>
      <c r="Y606"/>
      <c r="Z606"/>
      <c r="AA606"/>
      <c r="AB606"/>
      <c r="AC606"/>
      <c r="AD606"/>
      <c r="AE606"/>
      <c r="AF606"/>
      <c r="AG606"/>
      <c r="AH606"/>
      <c r="AI606"/>
    </row>
    <row r="607" spans="1:35" s="33" customFormat="1" ht="15.75">
      <c r="A607" s="175"/>
      <c r="B607" s="163"/>
      <c r="C607" s="123"/>
      <c r="D607" s="123"/>
      <c r="E607" s="32"/>
      <c r="F607"/>
      <c r="G607"/>
      <c r="H607"/>
      <c r="I607"/>
      <c r="J607"/>
      <c r="K607"/>
      <c r="L607"/>
      <c r="M607"/>
      <c r="N607"/>
      <c r="O607"/>
      <c r="P607"/>
      <c r="Q607"/>
      <c r="R607"/>
      <c r="S607"/>
      <c r="T607"/>
      <c r="U607"/>
      <c r="V607"/>
      <c r="W607"/>
      <c r="X607"/>
      <c r="Y607"/>
      <c r="Z607"/>
      <c r="AA607"/>
      <c r="AB607"/>
      <c r="AC607"/>
      <c r="AD607"/>
      <c r="AE607"/>
      <c r="AF607"/>
      <c r="AG607"/>
      <c r="AH607"/>
      <c r="AI607"/>
    </row>
    <row r="608" spans="1:35" s="33" customFormat="1" ht="15.75">
      <c r="A608" s="175"/>
      <c r="B608" s="163"/>
      <c r="C608" s="123"/>
      <c r="D608" s="123"/>
      <c r="E608" s="32"/>
      <c r="F608"/>
      <c r="G608"/>
      <c r="H608"/>
      <c r="I608"/>
      <c r="J608"/>
      <c r="K608"/>
      <c r="L608"/>
      <c r="M608"/>
      <c r="N608"/>
      <c r="O608"/>
      <c r="P608"/>
      <c r="Q608"/>
      <c r="R608"/>
      <c r="S608"/>
      <c r="T608"/>
      <c r="U608"/>
      <c r="V608"/>
      <c r="W608"/>
      <c r="X608"/>
      <c r="Y608"/>
      <c r="Z608"/>
      <c r="AA608"/>
      <c r="AB608"/>
      <c r="AC608"/>
      <c r="AD608"/>
      <c r="AE608"/>
      <c r="AF608"/>
      <c r="AG608"/>
      <c r="AH608"/>
      <c r="AI608"/>
    </row>
    <row r="609" spans="1:35" s="33" customFormat="1" ht="15.75">
      <c r="A609" s="175"/>
      <c r="B609" s="163"/>
      <c r="C609" s="123"/>
      <c r="D609" s="123"/>
      <c r="E609" s="32"/>
      <c r="F609"/>
      <c r="G609"/>
      <c r="H609"/>
      <c r="I609"/>
      <c r="J609"/>
      <c r="K609"/>
      <c r="L609"/>
      <c r="M609"/>
      <c r="N609"/>
      <c r="O609"/>
      <c r="P609"/>
      <c r="Q609"/>
      <c r="R609"/>
      <c r="S609"/>
      <c r="T609"/>
      <c r="U609"/>
      <c r="V609"/>
      <c r="W609"/>
      <c r="X609"/>
      <c r="Y609"/>
      <c r="Z609"/>
      <c r="AA609"/>
      <c r="AB609"/>
      <c r="AC609"/>
      <c r="AD609"/>
      <c r="AE609"/>
      <c r="AF609"/>
      <c r="AG609"/>
      <c r="AH609"/>
      <c r="AI609"/>
    </row>
    <row r="610" spans="1:35" s="33" customFormat="1" ht="15.75">
      <c r="A610" s="175"/>
      <c r="B610" s="163"/>
      <c r="C610" s="123"/>
      <c r="D610" s="123"/>
      <c r="E610" s="32"/>
      <c r="F610"/>
      <c r="G610"/>
      <c r="H610"/>
      <c r="I610"/>
      <c r="J610"/>
      <c r="K610"/>
      <c r="L610"/>
      <c r="M610"/>
      <c r="N610"/>
      <c r="O610"/>
      <c r="P610"/>
      <c r="Q610"/>
      <c r="R610"/>
      <c r="S610"/>
      <c r="T610"/>
      <c r="U610"/>
      <c r="V610"/>
      <c r="W610"/>
      <c r="X610"/>
      <c r="Y610"/>
      <c r="Z610"/>
      <c r="AA610"/>
      <c r="AB610"/>
      <c r="AC610"/>
      <c r="AD610"/>
      <c r="AE610"/>
      <c r="AF610"/>
      <c r="AG610"/>
      <c r="AH610"/>
      <c r="AI610"/>
    </row>
    <row r="611" spans="1:35" s="33" customFormat="1" ht="15.75">
      <c r="A611" s="175"/>
      <c r="B611" s="163"/>
      <c r="C611" s="123"/>
      <c r="D611" s="123"/>
      <c r="E611" s="32"/>
      <c r="F611"/>
      <c r="G611"/>
      <c r="H611"/>
      <c r="I611"/>
      <c r="J611"/>
      <c r="K611"/>
      <c r="L611"/>
      <c r="M611"/>
      <c r="N611"/>
      <c r="O611"/>
      <c r="P611"/>
      <c r="Q611"/>
      <c r="R611"/>
      <c r="S611"/>
      <c r="T611"/>
      <c r="U611"/>
      <c r="V611"/>
      <c r="W611"/>
      <c r="X611"/>
      <c r="Y611"/>
      <c r="Z611"/>
      <c r="AA611"/>
      <c r="AB611"/>
      <c r="AC611"/>
      <c r="AD611"/>
      <c r="AE611"/>
      <c r="AF611"/>
      <c r="AG611"/>
      <c r="AH611"/>
      <c r="AI611"/>
    </row>
    <row r="612" spans="1:35" s="33" customFormat="1" ht="15.75">
      <c r="A612" s="175"/>
      <c r="B612" s="163"/>
      <c r="C612" s="123"/>
      <c r="D612" s="123"/>
      <c r="E612" s="32"/>
      <c r="F612"/>
      <c r="G612"/>
      <c r="H612"/>
      <c r="I612"/>
      <c r="J612"/>
      <c r="K612"/>
      <c r="L612"/>
      <c r="M612"/>
      <c r="N612"/>
      <c r="O612"/>
      <c r="P612"/>
      <c r="Q612"/>
      <c r="R612"/>
      <c r="S612"/>
      <c r="T612"/>
      <c r="U612"/>
      <c r="V612"/>
      <c r="W612"/>
      <c r="X612"/>
      <c r="Y612"/>
      <c r="Z612"/>
      <c r="AA612"/>
      <c r="AB612"/>
      <c r="AC612"/>
      <c r="AD612"/>
      <c r="AE612"/>
      <c r="AF612"/>
      <c r="AG612"/>
      <c r="AH612"/>
      <c r="AI612"/>
    </row>
    <row r="613" spans="1:35" s="33" customFormat="1" ht="15.75">
      <c r="A613" s="175"/>
      <c r="B613" s="163"/>
      <c r="C613" s="123"/>
      <c r="D613" s="123"/>
      <c r="E613" s="32"/>
      <c r="F613"/>
      <c r="G613"/>
      <c r="H613"/>
      <c r="I613"/>
      <c r="J613"/>
      <c r="K613"/>
      <c r="L613"/>
      <c r="M613"/>
      <c r="N613"/>
      <c r="O613"/>
      <c r="P613"/>
      <c r="Q613"/>
      <c r="R613"/>
      <c r="S613"/>
      <c r="T613"/>
      <c r="U613"/>
      <c r="V613"/>
      <c r="W613"/>
      <c r="X613"/>
      <c r="Y613"/>
      <c r="Z613"/>
      <c r="AA613"/>
      <c r="AB613"/>
      <c r="AC613"/>
      <c r="AD613"/>
      <c r="AE613"/>
      <c r="AF613"/>
      <c r="AG613"/>
      <c r="AH613"/>
      <c r="AI613"/>
    </row>
    <row r="614" spans="1:35" s="33" customFormat="1" ht="15.75">
      <c r="A614" s="175"/>
      <c r="B614" s="163"/>
      <c r="C614" s="123"/>
      <c r="D614" s="123"/>
      <c r="E614" s="32"/>
      <c r="F614"/>
      <c r="G614"/>
      <c r="H614"/>
      <c r="I614"/>
      <c r="J614"/>
      <c r="K614"/>
      <c r="L614"/>
      <c r="M614"/>
      <c r="N614"/>
      <c r="O614"/>
      <c r="P614"/>
      <c r="Q614"/>
      <c r="R614"/>
      <c r="S614"/>
      <c r="T614"/>
      <c r="U614"/>
      <c r="V614"/>
      <c r="W614"/>
      <c r="X614"/>
      <c r="Y614"/>
      <c r="Z614"/>
      <c r="AA614"/>
      <c r="AB614"/>
      <c r="AC614"/>
      <c r="AD614"/>
      <c r="AE614"/>
      <c r="AF614"/>
      <c r="AG614"/>
      <c r="AH614"/>
      <c r="AI614"/>
    </row>
    <row r="615" spans="1:35" s="33" customFormat="1" ht="15.75">
      <c r="A615" s="175"/>
      <c r="B615" s="163"/>
      <c r="C615" s="123"/>
      <c r="D615" s="123"/>
      <c r="E615" s="32"/>
      <c r="F615"/>
      <c r="G615"/>
      <c r="H615"/>
      <c r="I615"/>
      <c r="J615"/>
      <c r="K615"/>
      <c r="L615"/>
      <c r="M615"/>
      <c r="N615"/>
      <c r="O615"/>
      <c r="P615"/>
      <c r="Q615"/>
      <c r="R615"/>
      <c r="S615"/>
      <c r="T615"/>
      <c r="U615"/>
      <c r="V615"/>
      <c r="W615"/>
      <c r="X615"/>
      <c r="Y615"/>
      <c r="Z615"/>
      <c r="AA615"/>
      <c r="AB615"/>
      <c r="AC615"/>
      <c r="AD615"/>
      <c r="AE615"/>
      <c r="AF615"/>
      <c r="AG615"/>
      <c r="AH615"/>
      <c r="AI615"/>
    </row>
    <row r="616" spans="1:35" s="33" customFormat="1" ht="15.75">
      <c r="A616" s="175"/>
      <c r="B616" s="163"/>
      <c r="C616" s="123"/>
      <c r="D616" s="123"/>
      <c r="E616" s="32"/>
      <c r="F616"/>
      <c r="G616"/>
      <c r="H616"/>
      <c r="I616"/>
      <c r="J616"/>
      <c r="K616"/>
      <c r="L616"/>
      <c r="M616"/>
      <c r="N616"/>
      <c r="O616"/>
      <c r="P616"/>
      <c r="Q616"/>
      <c r="R616"/>
      <c r="S616"/>
      <c r="T616"/>
      <c r="U616"/>
      <c r="V616"/>
      <c r="W616"/>
      <c r="X616"/>
      <c r="Y616"/>
      <c r="Z616"/>
      <c r="AA616"/>
      <c r="AB616"/>
      <c r="AC616"/>
      <c r="AD616"/>
      <c r="AE616"/>
      <c r="AF616"/>
      <c r="AG616"/>
      <c r="AH616"/>
      <c r="AI616"/>
    </row>
    <row r="617" spans="1:35" s="33" customFormat="1" ht="15.75">
      <c r="A617" s="175"/>
      <c r="B617" s="163"/>
      <c r="C617" s="123"/>
      <c r="D617" s="123"/>
      <c r="E617" s="32"/>
      <c r="F617"/>
      <c r="G617"/>
      <c r="H617"/>
      <c r="I617"/>
      <c r="J617"/>
      <c r="K617"/>
      <c r="L617"/>
      <c r="M617"/>
      <c r="N617"/>
      <c r="O617"/>
      <c r="P617"/>
      <c r="Q617"/>
      <c r="R617"/>
      <c r="S617"/>
      <c r="T617"/>
      <c r="U617"/>
      <c r="V617"/>
      <c r="W617"/>
      <c r="X617"/>
      <c r="Y617"/>
      <c r="Z617"/>
      <c r="AA617"/>
      <c r="AB617"/>
      <c r="AC617"/>
      <c r="AD617"/>
      <c r="AE617"/>
      <c r="AF617"/>
      <c r="AG617"/>
      <c r="AH617"/>
      <c r="AI617"/>
    </row>
    <row r="618" spans="1:35" s="33" customFormat="1" ht="15.75">
      <c r="A618" s="175"/>
      <c r="B618" s="163"/>
      <c r="C618" s="123"/>
      <c r="D618" s="123"/>
      <c r="E618" s="32"/>
      <c r="F618"/>
      <c r="G618"/>
      <c r="H618"/>
      <c r="I618"/>
      <c r="J618"/>
      <c r="K618"/>
      <c r="L618"/>
      <c r="M618"/>
      <c r="N618"/>
      <c r="O618"/>
      <c r="P618"/>
      <c r="Q618"/>
      <c r="R618"/>
      <c r="S618"/>
      <c r="T618"/>
      <c r="U618"/>
      <c r="V618"/>
      <c r="W618"/>
      <c r="X618"/>
      <c r="Y618"/>
      <c r="Z618"/>
      <c r="AA618"/>
      <c r="AB618"/>
      <c r="AC618"/>
      <c r="AD618"/>
      <c r="AE618"/>
      <c r="AF618"/>
      <c r="AG618"/>
      <c r="AH618"/>
      <c r="AI618"/>
    </row>
    <row r="619" spans="1:35" s="33" customFormat="1" ht="15.75">
      <c r="A619" s="175"/>
      <c r="B619" s="163"/>
      <c r="C619" s="123"/>
      <c r="D619" s="123"/>
      <c r="E619" s="32"/>
      <c r="F619"/>
      <c r="G619"/>
      <c r="H619"/>
      <c r="I619"/>
      <c r="J619"/>
      <c r="K619"/>
      <c r="L619"/>
      <c r="M619"/>
      <c r="N619"/>
      <c r="O619"/>
      <c r="P619"/>
      <c r="Q619"/>
      <c r="R619"/>
      <c r="S619"/>
      <c r="T619"/>
      <c r="U619"/>
      <c r="V619"/>
      <c r="W619"/>
      <c r="X619"/>
      <c r="Y619"/>
      <c r="Z619"/>
      <c r="AA619"/>
      <c r="AB619"/>
      <c r="AC619"/>
      <c r="AD619"/>
      <c r="AE619"/>
      <c r="AF619"/>
      <c r="AG619"/>
      <c r="AH619"/>
      <c r="AI619"/>
    </row>
    <row r="620" spans="1:35" s="33" customFormat="1" ht="15.75">
      <c r="A620" s="175"/>
      <c r="B620" s="163"/>
      <c r="C620" s="123"/>
      <c r="D620" s="123"/>
      <c r="E620" s="32"/>
      <c r="F620"/>
      <c r="G620"/>
      <c r="H620"/>
      <c r="I620"/>
      <c r="J620"/>
      <c r="K620"/>
      <c r="L620"/>
      <c r="M620"/>
      <c r="N620"/>
      <c r="O620"/>
      <c r="P620"/>
      <c r="Q620"/>
      <c r="R620"/>
      <c r="S620"/>
      <c r="T620"/>
      <c r="U620"/>
      <c r="V620"/>
      <c r="W620"/>
      <c r="X620"/>
      <c r="Y620"/>
      <c r="Z620"/>
      <c r="AA620"/>
      <c r="AB620"/>
      <c r="AC620"/>
      <c r="AD620"/>
      <c r="AE620"/>
      <c r="AF620"/>
      <c r="AG620"/>
      <c r="AH620"/>
      <c r="AI620"/>
    </row>
    <row r="621" spans="1:35" s="33" customFormat="1" ht="15.75">
      <c r="A621" s="175"/>
      <c r="B621" s="163"/>
      <c r="C621" s="123"/>
      <c r="D621" s="123"/>
      <c r="E621" s="32"/>
      <c r="F621"/>
      <c r="G621"/>
      <c r="H621"/>
      <c r="I621"/>
      <c r="J621"/>
      <c r="K621"/>
      <c r="L621"/>
      <c r="M621"/>
      <c r="N621"/>
      <c r="O621"/>
      <c r="P621"/>
      <c r="Q621"/>
      <c r="R621"/>
      <c r="S621"/>
      <c r="T621"/>
      <c r="U621"/>
      <c r="V621"/>
      <c r="W621"/>
      <c r="X621"/>
      <c r="Y621"/>
      <c r="Z621"/>
      <c r="AA621"/>
      <c r="AB621"/>
      <c r="AC621"/>
      <c r="AD621"/>
      <c r="AE621"/>
      <c r="AF621"/>
      <c r="AG621"/>
      <c r="AH621"/>
      <c r="AI621"/>
    </row>
    <row r="622" spans="1:35" s="33" customFormat="1" ht="15.75">
      <c r="A622" s="175"/>
      <c r="B622" s="163"/>
      <c r="C622" s="123"/>
      <c r="D622" s="123"/>
      <c r="E622" s="32"/>
      <c r="F622"/>
      <c r="G622"/>
      <c r="H622"/>
      <c r="I622"/>
      <c r="J622"/>
      <c r="K622"/>
      <c r="L622"/>
      <c r="M622"/>
      <c r="N622"/>
      <c r="O622"/>
      <c r="P622"/>
      <c r="Q622"/>
      <c r="R622"/>
      <c r="S622"/>
      <c r="T622"/>
      <c r="U622"/>
      <c r="V622"/>
      <c r="W622"/>
      <c r="X622"/>
      <c r="Y622"/>
      <c r="Z622"/>
      <c r="AA622"/>
      <c r="AB622"/>
      <c r="AC622"/>
      <c r="AD622"/>
      <c r="AE622"/>
      <c r="AF622"/>
      <c r="AG622"/>
      <c r="AH622"/>
      <c r="AI622"/>
    </row>
    <row r="623" spans="1:35" s="33" customFormat="1" ht="15.75">
      <c r="A623" s="175"/>
      <c r="B623" s="163"/>
      <c r="C623" s="123"/>
      <c r="D623" s="123"/>
      <c r="E623" s="32"/>
      <c r="F623"/>
      <c r="G623"/>
      <c r="H623"/>
      <c r="I623"/>
      <c r="J623"/>
      <c r="K623"/>
      <c r="L623"/>
      <c r="M623"/>
      <c r="N623"/>
      <c r="O623"/>
      <c r="P623"/>
      <c r="Q623"/>
      <c r="R623"/>
      <c r="S623"/>
      <c r="T623"/>
      <c r="U623"/>
      <c r="V623"/>
      <c r="W623"/>
      <c r="X623"/>
      <c r="Y623"/>
      <c r="Z623"/>
      <c r="AA623"/>
      <c r="AB623"/>
      <c r="AC623"/>
      <c r="AD623"/>
      <c r="AE623"/>
      <c r="AF623"/>
      <c r="AG623"/>
      <c r="AH623"/>
      <c r="AI623"/>
    </row>
    <row r="624" spans="1:35" s="33" customFormat="1" ht="15.75">
      <c r="A624" s="175"/>
      <c r="B624" s="163"/>
      <c r="C624" s="123"/>
      <c r="D624" s="123"/>
      <c r="E624" s="32"/>
      <c r="F624"/>
      <c r="G624"/>
      <c r="H624"/>
      <c r="I624"/>
      <c r="J624"/>
      <c r="K624"/>
      <c r="L624"/>
      <c r="M624"/>
      <c r="N624"/>
      <c r="O624"/>
      <c r="P624"/>
      <c r="Q624"/>
      <c r="R624"/>
      <c r="S624"/>
      <c r="T624"/>
      <c r="U624"/>
      <c r="V624"/>
      <c r="W624"/>
      <c r="X624"/>
      <c r="Y624"/>
      <c r="Z624"/>
      <c r="AA624"/>
      <c r="AB624"/>
      <c r="AC624"/>
      <c r="AD624"/>
      <c r="AE624"/>
      <c r="AF624"/>
      <c r="AG624"/>
      <c r="AH624"/>
      <c r="AI624"/>
    </row>
    <row r="625" spans="1:35" s="33" customFormat="1" ht="15.75">
      <c r="A625" s="175"/>
      <c r="B625" s="163"/>
      <c r="C625" s="123"/>
      <c r="D625" s="123"/>
      <c r="E625" s="32"/>
      <c r="F625"/>
      <c r="G625"/>
      <c r="H625"/>
      <c r="I625"/>
      <c r="J625"/>
      <c r="K625"/>
      <c r="L625"/>
      <c r="M625"/>
      <c r="N625"/>
      <c r="O625"/>
      <c r="P625"/>
      <c r="Q625"/>
      <c r="R625"/>
      <c r="S625"/>
      <c r="T625"/>
      <c r="U625"/>
      <c r="V625"/>
      <c r="W625"/>
      <c r="X625"/>
      <c r="Y625"/>
      <c r="Z625"/>
      <c r="AA625"/>
      <c r="AB625"/>
      <c r="AC625"/>
      <c r="AD625"/>
      <c r="AE625"/>
      <c r="AF625"/>
      <c r="AG625"/>
      <c r="AH625"/>
      <c r="AI625"/>
    </row>
    <row r="626" spans="1:35" s="33" customFormat="1" ht="15.75">
      <c r="A626" s="175"/>
      <c r="B626" s="163"/>
      <c r="C626" s="123"/>
      <c r="D626" s="123"/>
      <c r="E626" s="32"/>
      <c r="F626"/>
      <c r="G626"/>
      <c r="H626"/>
      <c r="I626"/>
      <c r="J626"/>
      <c r="K626"/>
      <c r="L626"/>
      <c r="M626"/>
      <c r="N626"/>
      <c r="O626"/>
      <c r="P626"/>
      <c r="Q626"/>
      <c r="R626"/>
      <c r="S626"/>
      <c r="T626"/>
      <c r="U626"/>
      <c r="V626"/>
      <c r="W626"/>
      <c r="X626"/>
      <c r="Y626"/>
      <c r="Z626"/>
      <c r="AA626"/>
      <c r="AB626"/>
      <c r="AC626"/>
      <c r="AD626"/>
      <c r="AE626"/>
      <c r="AF626"/>
      <c r="AG626"/>
      <c r="AH626"/>
      <c r="AI626"/>
    </row>
    <row r="627" spans="1:35" s="33" customFormat="1" ht="15.75">
      <c r="A627" s="175"/>
      <c r="B627" s="163"/>
      <c r="C627" s="123"/>
      <c r="D627" s="123"/>
      <c r="E627" s="32"/>
      <c r="F627"/>
      <c r="G627"/>
      <c r="H627"/>
      <c r="I627"/>
      <c r="J627"/>
      <c r="K627"/>
      <c r="L627"/>
      <c r="M627"/>
      <c r="N627"/>
      <c r="O627"/>
      <c r="P627"/>
      <c r="Q627"/>
      <c r="R627"/>
      <c r="S627"/>
      <c r="T627"/>
      <c r="U627"/>
      <c r="V627"/>
      <c r="W627"/>
      <c r="X627"/>
      <c r="Y627"/>
      <c r="Z627"/>
      <c r="AA627"/>
      <c r="AB627"/>
      <c r="AC627"/>
      <c r="AD627"/>
      <c r="AE627"/>
      <c r="AF627"/>
      <c r="AG627"/>
      <c r="AH627"/>
      <c r="AI627"/>
    </row>
    <row r="628" spans="1:35" s="33" customFormat="1" ht="15.75">
      <c r="A628" s="175"/>
      <c r="B628" s="163"/>
      <c r="C628" s="123"/>
      <c r="D628" s="123"/>
      <c r="E628" s="32"/>
      <c r="F628"/>
      <c r="G628"/>
      <c r="H628"/>
      <c r="I628"/>
      <c r="J628"/>
      <c r="K628"/>
      <c r="L628"/>
      <c r="M628"/>
      <c r="N628"/>
      <c r="O628"/>
      <c r="P628"/>
      <c r="Q628"/>
      <c r="R628"/>
      <c r="S628"/>
      <c r="T628"/>
      <c r="U628"/>
      <c r="V628"/>
      <c r="W628"/>
      <c r="X628"/>
      <c r="Y628"/>
      <c r="Z628"/>
      <c r="AA628"/>
      <c r="AB628"/>
      <c r="AC628"/>
      <c r="AD628"/>
      <c r="AE628"/>
      <c r="AF628"/>
      <c r="AG628"/>
      <c r="AH628"/>
      <c r="AI628"/>
    </row>
    <row r="629" spans="1:35" s="33" customFormat="1" ht="15.75">
      <c r="A629" s="175"/>
      <c r="B629" s="163"/>
      <c r="C629" s="123"/>
      <c r="D629" s="123"/>
      <c r="E629" s="32"/>
      <c r="F629"/>
      <c r="G629"/>
      <c r="H629"/>
      <c r="I629"/>
      <c r="J629"/>
      <c r="K629"/>
      <c r="L629"/>
      <c r="M629"/>
      <c r="N629"/>
      <c r="O629"/>
      <c r="P629"/>
      <c r="Q629"/>
      <c r="R629"/>
      <c r="S629"/>
      <c r="T629"/>
      <c r="U629"/>
      <c r="V629"/>
      <c r="W629"/>
      <c r="X629"/>
      <c r="Y629"/>
      <c r="Z629"/>
      <c r="AA629"/>
      <c r="AB629"/>
      <c r="AC629"/>
      <c r="AD629"/>
      <c r="AE629"/>
      <c r="AF629"/>
      <c r="AG629"/>
      <c r="AH629"/>
      <c r="AI629"/>
    </row>
    <row r="630" spans="1:35" s="33" customFormat="1" ht="15.75">
      <c r="A630" s="175"/>
      <c r="B630" s="163"/>
      <c r="C630" s="123"/>
      <c r="D630" s="123"/>
      <c r="E630" s="32"/>
      <c r="F630"/>
      <c r="G630"/>
      <c r="H630"/>
      <c r="I630"/>
      <c r="J630"/>
      <c r="K630"/>
      <c r="L630"/>
      <c r="M630"/>
      <c r="N630"/>
      <c r="O630"/>
      <c r="P630"/>
      <c r="Q630"/>
      <c r="R630"/>
      <c r="S630"/>
      <c r="T630"/>
      <c r="U630"/>
      <c r="V630"/>
      <c r="W630"/>
      <c r="X630"/>
      <c r="Y630"/>
      <c r="Z630"/>
      <c r="AA630"/>
      <c r="AB630"/>
      <c r="AC630"/>
      <c r="AD630"/>
      <c r="AE630"/>
      <c r="AF630"/>
      <c r="AG630"/>
      <c r="AH630"/>
      <c r="AI630"/>
    </row>
    <row r="631" spans="1:35" s="33" customFormat="1" ht="15.75">
      <c r="A631" s="175"/>
      <c r="B631" s="163"/>
      <c r="C631" s="123"/>
      <c r="D631" s="123"/>
      <c r="E631" s="32"/>
      <c r="F631"/>
      <c r="G631"/>
      <c r="H631"/>
      <c r="I631"/>
      <c r="J631"/>
      <c r="K631"/>
      <c r="L631"/>
      <c r="M631"/>
      <c r="N631"/>
      <c r="O631"/>
      <c r="P631"/>
      <c r="Q631"/>
      <c r="R631"/>
      <c r="S631"/>
      <c r="T631"/>
      <c r="U631"/>
      <c r="V631"/>
      <c r="W631"/>
      <c r="X631"/>
      <c r="Y631"/>
      <c r="Z631"/>
      <c r="AA631"/>
      <c r="AB631"/>
      <c r="AC631"/>
      <c r="AD631"/>
      <c r="AE631"/>
      <c r="AF631"/>
      <c r="AG631"/>
      <c r="AH631"/>
      <c r="AI631"/>
    </row>
    <row r="632" spans="1:35" s="33" customFormat="1" ht="15.75">
      <c r="A632" s="175"/>
      <c r="B632" s="163"/>
      <c r="C632" s="123"/>
      <c r="D632" s="123"/>
      <c r="E632" s="32"/>
      <c r="F632"/>
      <c r="G632"/>
      <c r="H632"/>
      <c r="I632"/>
      <c r="J632"/>
      <c r="K632"/>
      <c r="L632"/>
      <c r="M632"/>
      <c r="N632"/>
      <c r="O632"/>
      <c r="P632"/>
      <c r="Q632"/>
      <c r="R632"/>
      <c r="S632"/>
      <c r="T632"/>
      <c r="U632"/>
      <c r="V632"/>
      <c r="W632"/>
      <c r="X632"/>
      <c r="Y632"/>
      <c r="Z632"/>
      <c r="AA632"/>
      <c r="AB632"/>
      <c r="AC632"/>
      <c r="AD632"/>
      <c r="AE632"/>
      <c r="AF632"/>
      <c r="AG632"/>
      <c r="AH632"/>
      <c r="AI632"/>
    </row>
    <row r="633" spans="1:35" s="33" customFormat="1" ht="15.75">
      <c r="A633" s="175"/>
      <c r="B633" s="163"/>
      <c r="C633" s="123"/>
      <c r="D633" s="123"/>
      <c r="E633" s="32"/>
      <c r="F633"/>
      <c r="G633"/>
      <c r="H633"/>
      <c r="I633"/>
      <c r="J633"/>
      <c r="K633"/>
      <c r="L633"/>
      <c r="M633"/>
      <c r="N633"/>
      <c r="O633"/>
      <c r="P633"/>
      <c r="Q633"/>
      <c r="R633"/>
      <c r="S633"/>
      <c r="T633"/>
      <c r="U633"/>
      <c r="V633"/>
      <c r="W633"/>
      <c r="X633"/>
      <c r="Y633"/>
      <c r="Z633"/>
      <c r="AA633"/>
      <c r="AB633"/>
      <c r="AC633"/>
      <c r="AD633"/>
      <c r="AE633"/>
      <c r="AF633"/>
      <c r="AG633"/>
      <c r="AH633"/>
      <c r="AI633"/>
    </row>
    <row r="634" spans="1:35" s="33" customFormat="1" ht="15.75">
      <c r="A634" s="175"/>
      <c r="B634" s="163"/>
      <c r="C634" s="123"/>
      <c r="D634" s="123"/>
      <c r="E634" s="32"/>
      <c r="F634"/>
      <c r="G634"/>
      <c r="H634"/>
      <c r="I634"/>
      <c r="J634"/>
      <c r="K634"/>
      <c r="L634"/>
      <c r="M634"/>
      <c r="N634"/>
      <c r="O634"/>
      <c r="P634"/>
      <c r="Q634"/>
      <c r="R634"/>
      <c r="S634"/>
      <c r="T634"/>
      <c r="U634"/>
      <c r="V634"/>
      <c r="W634"/>
      <c r="X634"/>
      <c r="Y634"/>
      <c r="Z634"/>
      <c r="AA634"/>
      <c r="AB634"/>
      <c r="AC634"/>
      <c r="AD634"/>
      <c r="AE634"/>
      <c r="AF634"/>
      <c r="AG634"/>
      <c r="AH634"/>
      <c r="AI634"/>
    </row>
    <row r="635" spans="1:35" s="33" customFormat="1" ht="15.75">
      <c r="A635" s="175"/>
      <c r="B635" s="163"/>
      <c r="C635" s="123"/>
      <c r="D635" s="123"/>
      <c r="E635" s="32"/>
      <c r="F635"/>
      <c r="G635"/>
      <c r="H635"/>
      <c r="I635"/>
      <c r="J635"/>
      <c r="K635"/>
      <c r="L635"/>
      <c r="M635"/>
      <c r="N635"/>
      <c r="O635"/>
      <c r="P635"/>
      <c r="Q635"/>
      <c r="R635"/>
      <c r="S635"/>
      <c r="T635"/>
      <c r="U635"/>
      <c r="V635"/>
      <c r="W635"/>
      <c r="X635"/>
      <c r="Y635"/>
      <c r="Z635"/>
      <c r="AA635"/>
      <c r="AB635"/>
      <c r="AC635"/>
      <c r="AD635"/>
      <c r="AE635"/>
      <c r="AF635"/>
      <c r="AG635"/>
      <c r="AH635"/>
      <c r="AI635"/>
    </row>
    <row r="636" spans="1:35" s="33" customFormat="1" ht="15.75">
      <c r="A636" s="175"/>
      <c r="B636" s="163"/>
      <c r="C636" s="123"/>
      <c r="D636" s="123"/>
      <c r="E636" s="32"/>
      <c r="F636"/>
      <c r="G636"/>
      <c r="H636"/>
      <c r="I636"/>
      <c r="J636"/>
      <c r="K636"/>
      <c r="L636"/>
      <c r="M636"/>
      <c r="N636"/>
      <c r="O636"/>
      <c r="P636"/>
      <c r="Q636"/>
      <c r="R636"/>
      <c r="S636"/>
      <c r="T636"/>
      <c r="U636"/>
      <c r="V636"/>
      <c r="W636"/>
      <c r="X636"/>
      <c r="Y636"/>
      <c r="Z636"/>
      <c r="AA636"/>
      <c r="AB636"/>
      <c r="AC636"/>
      <c r="AD636"/>
      <c r="AE636"/>
      <c r="AF636"/>
      <c r="AG636"/>
      <c r="AH636"/>
      <c r="AI636"/>
    </row>
    <row r="637" spans="1:35" s="33" customFormat="1" ht="15.75">
      <c r="A637" s="175"/>
      <c r="B637" s="163"/>
      <c r="C637" s="123"/>
      <c r="D637" s="123"/>
      <c r="E637" s="32"/>
      <c r="F637"/>
      <c r="G637"/>
      <c r="H637"/>
      <c r="I637"/>
      <c r="J637"/>
      <c r="K637"/>
      <c r="L637"/>
      <c r="M637"/>
      <c r="N637"/>
      <c r="O637"/>
      <c r="P637"/>
      <c r="Q637"/>
      <c r="R637"/>
      <c r="S637"/>
      <c r="T637"/>
      <c r="U637"/>
      <c r="V637"/>
      <c r="W637"/>
      <c r="X637"/>
      <c r="Y637"/>
      <c r="Z637"/>
      <c r="AA637"/>
      <c r="AB637"/>
      <c r="AC637"/>
      <c r="AD637"/>
      <c r="AE637"/>
      <c r="AF637"/>
      <c r="AG637"/>
      <c r="AH637"/>
      <c r="AI637"/>
    </row>
    <row r="638" spans="1:35" s="33" customFormat="1" ht="15.75">
      <c r="A638" s="175"/>
      <c r="B638" s="163"/>
      <c r="C638" s="123"/>
      <c r="D638" s="123"/>
      <c r="E638" s="32"/>
      <c r="F638"/>
      <c r="G638"/>
      <c r="H638"/>
      <c r="I638"/>
      <c r="J638"/>
      <c r="K638"/>
      <c r="L638"/>
      <c r="M638"/>
      <c r="N638"/>
      <c r="O638"/>
      <c r="P638"/>
      <c r="Q638"/>
      <c r="R638"/>
      <c r="S638"/>
      <c r="T638"/>
      <c r="U638"/>
      <c r="V638"/>
      <c r="W638"/>
      <c r="X638"/>
      <c r="Y638"/>
      <c r="Z638"/>
      <c r="AA638"/>
      <c r="AB638"/>
      <c r="AC638"/>
      <c r="AD638"/>
      <c r="AE638"/>
      <c r="AF638"/>
      <c r="AG638"/>
      <c r="AH638"/>
      <c r="AI638"/>
    </row>
    <row r="639" spans="1:35" s="33" customFormat="1" ht="15.75">
      <c r="A639" s="175"/>
      <c r="B639" s="163"/>
      <c r="C639" s="123"/>
      <c r="D639" s="123"/>
      <c r="E639" s="32"/>
      <c r="F639"/>
      <c r="G639"/>
      <c r="H639"/>
      <c r="I639"/>
      <c r="J639"/>
      <c r="K639"/>
      <c r="L639"/>
      <c r="M639"/>
      <c r="N639"/>
      <c r="O639"/>
      <c r="P639"/>
      <c r="Q639"/>
      <c r="R639"/>
      <c r="S639"/>
      <c r="T639"/>
      <c r="U639"/>
      <c r="V639"/>
      <c r="W639"/>
      <c r="X639"/>
      <c r="Y639"/>
      <c r="Z639"/>
      <c r="AA639"/>
      <c r="AB639"/>
      <c r="AC639"/>
      <c r="AD639"/>
      <c r="AE639"/>
      <c r="AF639"/>
      <c r="AG639"/>
      <c r="AH639"/>
      <c r="AI639"/>
    </row>
    <row r="640" spans="1:35" s="33" customFormat="1" ht="15.75">
      <c r="A640" s="175"/>
      <c r="B640" s="163"/>
      <c r="C640" s="123"/>
      <c r="D640" s="123"/>
      <c r="E640" s="32"/>
      <c r="F640"/>
      <c r="G640"/>
      <c r="H640"/>
      <c r="I640"/>
      <c r="J640"/>
      <c r="K640"/>
      <c r="L640"/>
      <c r="M640"/>
      <c r="N640"/>
      <c r="O640"/>
      <c r="P640"/>
      <c r="Q640"/>
      <c r="R640"/>
      <c r="S640"/>
      <c r="T640"/>
      <c r="U640"/>
      <c r="V640"/>
      <c r="W640"/>
      <c r="X640"/>
      <c r="Y640"/>
      <c r="Z640"/>
      <c r="AA640"/>
      <c r="AB640"/>
      <c r="AC640"/>
      <c r="AD640"/>
      <c r="AE640"/>
      <c r="AF640"/>
      <c r="AG640"/>
      <c r="AH640"/>
      <c r="AI640"/>
    </row>
    <row r="641" spans="1:35" s="33" customFormat="1" ht="15.75">
      <c r="A641" s="175"/>
      <c r="B641" s="163"/>
      <c r="C641" s="123"/>
      <c r="D641" s="123"/>
      <c r="E641" s="32"/>
      <c r="F641"/>
      <c r="G641"/>
      <c r="H641"/>
      <c r="I641"/>
      <c r="J641"/>
      <c r="K641"/>
      <c r="L641"/>
      <c r="M641"/>
      <c r="N641"/>
      <c r="O641"/>
      <c r="P641"/>
      <c r="Q641"/>
      <c r="R641"/>
      <c r="S641"/>
      <c r="T641"/>
      <c r="U641"/>
      <c r="V641"/>
      <c r="W641"/>
      <c r="X641"/>
      <c r="Y641"/>
      <c r="Z641"/>
      <c r="AA641"/>
      <c r="AB641"/>
      <c r="AC641"/>
      <c r="AD641"/>
      <c r="AE641"/>
      <c r="AF641"/>
      <c r="AG641"/>
      <c r="AH641"/>
      <c r="AI641"/>
    </row>
    <row r="642" spans="1:35" s="33" customFormat="1" ht="15.75">
      <c r="A642" s="175"/>
      <c r="B642" s="163"/>
      <c r="C642" s="123"/>
      <c r="D642" s="123"/>
      <c r="E642" s="32"/>
      <c r="F642"/>
      <c r="G642"/>
      <c r="H642"/>
      <c r="I642"/>
      <c r="J642"/>
      <c r="K642"/>
      <c r="L642"/>
      <c r="M642"/>
      <c r="N642"/>
      <c r="O642"/>
      <c r="P642"/>
      <c r="Q642"/>
      <c r="R642"/>
      <c r="S642"/>
      <c r="T642"/>
      <c r="U642"/>
      <c r="V642"/>
      <c r="W642"/>
      <c r="X642"/>
      <c r="Y642"/>
      <c r="Z642"/>
      <c r="AA642"/>
      <c r="AB642"/>
      <c r="AC642"/>
      <c r="AD642"/>
      <c r="AE642"/>
      <c r="AF642"/>
      <c r="AG642"/>
      <c r="AH642"/>
      <c r="AI642"/>
    </row>
    <row r="643" spans="1:35" s="33" customFormat="1" ht="15.75">
      <c r="A643" s="175"/>
      <c r="B643" s="163"/>
      <c r="C643" s="123"/>
      <c r="D643" s="123"/>
      <c r="E643" s="32"/>
      <c r="F643"/>
      <c r="G643"/>
      <c r="H643"/>
      <c r="I643"/>
      <c r="J643"/>
      <c r="K643"/>
      <c r="L643"/>
      <c r="M643"/>
      <c r="N643"/>
      <c r="O643"/>
      <c r="P643"/>
      <c r="Q643"/>
      <c r="R643"/>
      <c r="S643"/>
      <c r="T643"/>
      <c r="U643"/>
      <c r="V643"/>
      <c r="W643"/>
      <c r="X643"/>
      <c r="Y643"/>
      <c r="Z643"/>
      <c r="AA643"/>
      <c r="AB643"/>
      <c r="AC643"/>
      <c r="AD643"/>
      <c r="AE643"/>
      <c r="AF643"/>
      <c r="AG643"/>
      <c r="AH643"/>
      <c r="AI643"/>
    </row>
    <row r="644" spans="1:35" s="33" customFormat="1" ht="15.75">
      <c r="A644" s="175"/>
      <c r="B644" s="163"/>
      <c r="C644" s="123"/>
      <c r="D644" s="123"/>
      <c r="E644" s="32"/>
      <c r="F644"/>
      <c r="G644"/>
      <c r="H644"/>
      <c r="I644"/>
      <c r="J644"/>
      <c r="K644"/>
      <c r="L644"/>
      <c r="M644"/>
      <c r="N644"/>
      <c r="O644"/>
      <c r="P644"/>
      <c r="Q644"/>
      <c r="R644"/>
      <c r="S644"/>
      <c r="T644"/>
      <c r="U644"/>
      <c r="V644"/>
      <c r="W644"/>
      <c r="X644"/>
      <c r="Y644"/>
      <c r="Z644"/>
      <c r="AA644"/>
      <c r="AB644"/>
      <c r="AC644"/>
      <c r="AD644"/>
      <c r="AE644"/>
      <c r="AF644"/>
      <c r="AG644"/>
      <c r="AH644"/>
      <c r="AI644"/>
    </row>
    <row r="645" spans="1:35" s="33" customFormat="1" ht="15.75">
      <c r="A645" s="175"/>
      <c r="B645" s="163"/>
      <c r="C645" s="123"/>
      <c r="D645" s="123"/>
      <c r="E645" s="32"/>
      <c r="F645"/>
      <c r="G645"/>
      <c r="H645"/>
      <c r="I645"/>
      <c r="J645"/>
      <c r="K645"/>
      <c r="L645"/>
      <c r="M645"/>
      <c r="N645"/>
      <c r="O645"/>
      <c r="P645"/>
      <c r="Q645"/>
      <c r="R645"/>
      <c r="S645"/>
      <c r="T645"/>
      <c r="U645"/>
      <c r="V645"/>
      <c r="W645"/>
      <c r="X645"/>
      <c r="Y645"/>
      <c r="Z645"/>
      <c r="AA645"/>
      <c r="AB645"/>
      <c r="AC645"/>
      <c r="AD645"/>
      <c r="AE645"/>
      <c r="AF645"/>
      <c r="AG645"/>
      <c r="AH645"/>
      <c r="AI645"/>
    </row>
    <row r="646" spans="1:35" s="33" customFormat="1" ht="15.75">
      <c r="A646" s="175"/>
      <c r="B646" s="163"/>
      <c r="C646" s="123"/>
      <c r="D646" s="123"/>
      <c r="E646" s="32"/>
      <c r="F646"/>
      <c r="G646"/>
      <c r="H646"/>
      <c r="I646"/>
      <c r="J646"/>
      <c r="K646"/>
      <c r="L646"/>
      <c r="M646"/>
      <c r="N646"/>
      <c r="O646"/>
      <c r="P646"/>
      <c r="Q646"/>
      <c r="R646"/>
      <c r="S646"/>
      <c r="T646"/>
      <c r="U646"/>
      <c r="V646"/>
      <c r="W646"/>
      <c r="X646"/>
      <c r="Y646"/>
      <c r="Z646"/>
      <c r="AA646"/>
      <c r="AB646"/>
      <c r="AC646"/>
      <c r="AD646"/>
      <c r="AE646"/>
      <c r="AF646"/>
      <c r="AG646"/>
      <c r="AH646"/>
      <c r="AI646"/>
    </row>
    <row r="647" spans="1:35" s="33" customFormat="1" ht="15.75">
      <c r="A647" s="175"/>
      <c r="B647" s="163"/>
      <c r="C647" s="123"/>
      <c r="D647" s="123"/>
      <c r="E647" s="32"/>
      <c r="F647"/>
      <c r="G647"/>
      <c r="H647"/>
      <c r="I647"/>
      <c r="J647"/>
      <c r="K647"/>
      <c r="L647"/>
      <c r="M647"/>
      <c r="N647"/>
      <c r="O647"/>
      <c r="P647"/>
      <c r="Q647"/>
      <c r="R647"/>
      <c r="S647"/>
      <c r="T647"/>
      <c r="U647"/>
      <c r="V647"/>
      <c r="W647"/>
      <c r="X647"/>
      <c r="Y647"/>
      <c r="Z647"/>
      <c r="AA647"/>
      <c r="AB647"/>
      <c r="AC647"/>
      <c r="AD647"/>
      <c r="AE647"/>
      <c r="AF647"/>
      <c r="AG647"/>
      <c r="AH647"/>
      <c r="AI647"/>
    </row>
    <row r="648" spans="1:35" s="33" customFormat="1" ht="15.75">
      <c r="A648" s="175"/>
      <c r="B648" s="163"/>
      <c r="C648" s="123"/>
      <c r="D648" s="123"/>
      <c r="E648" s="32"/>
      <c r="F648"/>
      <c r="G648"/>
      <c r="H648"/>
      <c r="I648"/>
      <c r="J648"/>
      <c r="K648"/>
      <c r="L648"/>
      <c r="M648"/>
      <c r="N648"/>
      <c r="O648"/>
      <c r="P648"/>
      <c r="Q648"/>
      <c r="R648"/>
      <c r="S648"/>
      <c r="T648"/>
      <c r="U648"/>
      <c r="V648"/>
      <c r="W648"/>
      <c r="X648"/>
      <c r="Y648"/>
      <c r="Z648"/>
      <c r="AA648"/>
      <c r="AB648"/>
      <c r="AC648"/>
      <c r="AD648"/>
      <c r="AE648"/>
      <c r="AF648"/>
      <c r="AG648"/>
      <c r="AH648"/>
      <c r="AI648"/>
    </row>
    <row r="649" spans="1:35" s="33" customFormat="1" ht="15.75">
      <c r="A649" s="175"/>
      <c r="B649" s="163"/>
      <c r="C649" s="123"/>
      <c r="D649" s="123"/>
      <c r="E649" s="32"/>
      <c r="F649"/>
      <c r="G649"/>
      <c r="H649"/>
      <c r="I649"/>
      <c r="J649"/>
      <c r="K649"/>
      <c r="L649"/>
      <c r="M649"/>
      <c r="N649"/>
      <c r="O649"/>
      <c r="P649"/>
      <c r="Q649"/>
      <c r="R649"/>
      <c r="S649"/>
      <c r="T649"/>
      <c r="U649"/>
      <c r="V649"/>
      <c r="W649"/>
      <c r="X649"/>
      <c r="Y649"/>
      <c r="Z649"/>
      <c r="AA649"/>
      <c r="AB649"/>
      <c r="AC649"/>
      <c r="AD649"/>
      <c r="AE649"/>
      <c r="AF649"/>
      <c r="AG649"/>
      <c r="AH649"/>
      <c r="AI649"/>
    </row>
    <row r="650" spans="1:35" s="33" customFormat="1" ht="15.75">
      <c r="A650" s="175"/>
      <c r="B650" s="163"/>
      <c r="C650" s="123"/>
      <c r="D650" s="123"/>
      <c r="E650" s="32"/>
      <c r="F650"/>
      <c r="G650"/>
      <c r="H650"/>
      <c r="I650"/>
      <c r="J650"/>
      <c r="K650"/>
      <c r="L650"/>
      <c r="M650"/>
      <c r="N650"/>
      <c r="O650"/>
      <c r="P650"/>
      <c r="Q650"/>
      <c r="R650"/>
      <c r="S650"/>
      <c r="T650"/>
      <c r="U650"/>
      <c r="V650"/>
      <c r="W650"/>
      <c r="X650"/>
      <c r="Y650"/>
      <c r="Z650"/>
      <c r="AA650"/>
      <c r="AB650"/>
      <c r="AC650"/>
      <c r="AD650"/>
      <c r="AE650"/>
      <c r="AF650"/>
      <c r="AG650"/>
      <c r="AH650"/>
      <c r="AI650"/>
    </row>
    <row r="651" spans="1:35" s="33" customFormat="1" ht="15.75">
      <c r="A651" s="175"/>
      <c r="B651" s="163"/>
      <c r="C651" s="123"/>
      <c r="D651" s="123"/>
      <c r="E651" s="32"/>
      <c r="F651"/>
      <c r="G651"/>
      <c r="H651"/>
      <c r="I651"/>
      <c r="J651"/>
      <c r="K651"/>
      <c r="L651"/>
      <c r="M651"/>
      <c r="N651"/>
      <c r="O651"/>
      <c r="P651"/>
      <c r="Q651"/>
      <c r="R651"/>
      <c r="S651"/>
      <c r="T651"/>
      <c r="U651"/>
      <c r="V651"/>
      <c r="W651"/>
      <c r="X651"/>
      <c r="Y651"/>
      <c r="Z651"/>
      <c r="AA651"/>
      <c r="AB651"/>
      <c r="AC651"/>
      <c r="AD651"/>
      <c r="AE651"/>
      <c r="AF651"/>
      <c r="AG651"/>
      <c r="AH651"/>
      <c r="AI651"/>
    </row>
    <row r="652" spans="1:35" s="33" customFormat="1" ht="15.75">
      <c r="A652" s="175"/>
      <c r="B652" s="163"/>
      <c r="C652" s="123"/>
      <c r="D652" s="123"/>
      <c r="E652" s="32"/>
      <c r="F652"/>
      <c r="G652"/>
      <c r="H652"/>
      <c r="I652"/>
      <c r="J652"/>
      <c r="K652"/>
      <c r="L652"/>
      <c r="M652"/>
      <c r="N652"/>
      <c r="O652"/>
      <c r="P652"/>
      <c r="Q652"/>
      <c r="R652"/>
      <c r="S652"/>
      <c r="T652"/>
      <c r="U652"/>
      <c r="V652"/>
      <c r="W652"/>
      <c r="X652"/>
      <c r="Y652"/>
      <c r="Z652"/>
      <c r="AA652"/>
      <c r="AB652"/>
      <c r="AC652"/>
      <c r="AD652"/>
      <c r="AE652"/>
      <c r="AF652"/>
      <c r="AG652"/>
      <c r="AH652"/>
      <c r="AI652"/>
    </row>
    <row r="653" spans="1:35" s="33" customFormat="1" ht="15.75">
      <c r="A653" s="175"/>
      <c r="B653" s="163"/>
      <c r="C653" s="123"/>
      <c r="D653" s="123"/>
      <c r="E653" s="32"/>
      <c r="F653"/>
      <c r="G653"/>
      <c r="H653"/>
      <c r="I653"/>
      <c r="J653"/>
      <c r="K653"/>
      <c r="L653"/>
      <c r="M653"/>
      <c r="N653"/>
      <c r="O653"/>
      <c r="P653"/>
      <c r="Q653"/>
      <c r="R653"/>
      <c r="S653"/>
      <c r="T653"/>
      <c r="U653"/>
      <c r="V653"/>
      <c r="W653"/>
      <c r="X653"/>
      <c r="Y653"/>
      <c r="Z653"/>
      <c r="AA653"/>
      <c r="AB653"/>
      <c r="AC653"/>
      <c r="AD653"/>
      <c r="AE653"/>
      <c r="AF653"/>
      <c r="AG653"/>
      <c r="AH653"/>
      <c r="AI653"/>
    </row>
    <row r="654" spans="1:35" s="33" customFormat="1" ht="15.75">
      <c r="A654" s="175"/>
      <c r="B654" s="163"/>
      <c r="C654" s="123"/>
      <c r="D654" s="123"/>
      <c r="E654" s="32"/>
      <c r="F654"/>
      <c r="G654"/>
      <c r="H654"/>
      <c r="I654"/>
      <c r="J654"/>
      <c r="K654"/>
      <c r="L654"/>
      <c r="M654"/>
      <c r="N654"/>
      <c r="O654"/>
      <c r="P654"/>
      <c r="Q654"/>
      <c r="R654"/>
      <c r="S654"/>
      <c r="T654"/>
      <c r="U654"/>
      <c r="V654"/>
      <c r="W654"/>
      <c r="X654"/>
      <c r="Y654"/>
      <c r="Z654"/>
      <c r="AA654"/>
      <c r="AB654"/>
      <c r="AC654"/>
      <c r="AD654"/>
      <c r="AE654"/>
      <c r="AF654"/>
      <c r="AG654"/>
      <c r="AH654"/>
      <c r="AI654"/>
    </row>
    <row r="655" spans="1:35" s="33" customFormat="1" ht="15.75">
      <c r="A655" s="175"/>
      <c r="B655" s="163"/>
      <c r="C655" s="123"/>
      <c r="D655" s="123"/>
      <c r="E655" s="32"/>
      <c r="F655"/>
      <c r="G655"/>
      <c r="H655"/>
      <c r="I655"/>
      <c r="J655"/>
      <c r="K655"/>
      <c r="L655"/>
      <c r="M655"/>
      <c r="N655"/>
      <c r="O655"/>
      <c r="P655"/>
      <c r="Q655"/>
      <c r="R655"/>
      <c r="S655"/>
      <c r="T655"/>
      <c r="U655"/>
      <c r="V655"/>
      <c r="W655"/>
      <c r="X655"/>
      <c r="Y655"/>
      <c r="Z655"/>
      <c r="AA655"/>
      <c r="AB655"/>
      <c r="AC655"/>
      <c r="AD655"/>
      <c r="AE655"/>
      <c r="AF655"/>
      <c r="AG655"/>
      <c r="AH655"/>
      <c r="AI655"/>
    </row>
    <row r="656" spans="1:35" s="33" customFormat="1" ht="15.75">
      <c r="A656" s="175"/>
      <c r="B656" s="163"/>
      <c r="C656" s="123"/>
      <c r="D656" s="123"/>
      <c r="E656" s="32"/>
      <c r="F656"/>
      <c r="G656"/>
      <c r="H656"/>
      <c r="I656"/>
      <c r="J656"/>
      <c r="K656"/>
      <c r="L656"/>
      <c r="M656"/>
      <c r="N656"/>
      <c r="O656"/>
      <c r="P656"/>
      <c r="Q656"/>
      <c r="R656"/>
      <c r="S656"/>
      <c r="T656"/>
      <c r="U656"/>
      <c r="V656"/>
      <c r="W656"/>
      <c r="X656"/>
      <c r="Y656"/>
      <c r="Z656"/>
      <c r="AA656"/>
      <c r="AB656"/>
      <c r="AC656"/>
      <c r="AD656"/>
      <c r="AE656"/>
      <c r="AF656"/>
      <c r="AG656"/>
      <c r="AH656"/>
      <c r="AI656"/>
    </row>
    <row r="657" spans="1:35" s="33" customFormat="1" ht="15.75">
      <c r="A657" s="175"/>
      <c r="B657" s="163"/>
      <c r="C657" s="123"/>
      <c r="D657" s="123"/>
      <c r="E657" s="32"/>
      <c r="F657"/>
      <c r="G657"/>
      <c r="H657"/>
      <c r="I657"/>
      <c r="J657"/>
      <c r="K657"/>
      <c r="L657"/>
      <c r="M657"/>
      <c r="N657"/>
      <c r="O657"/>
      <c r="P657"/>
      <c r="Q657"/>
      <c r="R657"/>
      <c r="S657"/>
      <c r="T657"/>
      <c r="U657"/>
      <c r="V657"/>
      <c r="W657"/>
      <c r="X657"/>
      <c r="Y657"/>
      <c r="Z657"/>
      <c r="AA657"/>
      <c r="AB657"/>
      <c r="AC657"/>
      <c r="AD657"/>
      <c r="AE657"/>
      <c r="AF657"/>
      <c r="AG657"/>
      <c r="AH657"/>
      <c r="AI657"/>
    </row>
    <row r="658" spans="1:35" s="33" customFormat="1" ht="15.75">
      <c r="A658" s="175"/>
      <c r="B658" s="163"/>
      <c r="C658" s="123"/>
      <c r="D658" s="123"/>
      <c r="E658" s="32"/>
      <c r="F658"/>
      <c r="G658"/>
      <c r="H658"/>
      <c r="I658"/>
      <c r="J658"/>
      <c r="K658"/>
      <c r="L658"/>
      <c r="M658"/>
      <c r="N658"/>
      <c r="O658"/>
      <c r="P658"/>
      <c r="Q658"/>
      <c r="R658"/>
      <c r="S658"/>
      <c r="T658"/>
      <c r="U658"/>
      <c r="V658"/>
      <c r="W658"/>
      <c r="X658"/>
      <c r="Y658"/>
      <c r="Z658"/>
      <c r="AA658"/>
      <c r="AB658"/>
      <c r="AC658"/>
      <c r="AD658"/>
      <c r="AE658"/>
      <c r="AF658"/>
      <c r="AG658"/>
      <c r="AH658"/>
      <c r="AI658"/>
    </row>
    <row r="659" spans="1:35" s="33" customFormat="1" ht="15.75">
      <c r="A659" s="175"/>
      <c r="B659" s="163"/>
      <c r="C659" s="123"/>
      <c r="D659" s="123"/>
      <c r="E659" s="32"/>
      <c r="F659"/>
      <c r="G659"/>
      <c r="H659"/>
      <c r="I659"/>
      <c r="J659"/>
      <c r="K659"/>
      <c r="L659"/>
      <c r="M659"/>
      <c r="N659"/>
      <c r="O659"/>
      <c r="P659"/>
      <c r="Q659"/>
      <c r="R659"/>
      <c r="S659"/>
      <c r="T659"/>
      <c r="U659"/>
      <c r="V659"/>
      <c r="W659"/>
      <c r="X659"/>
      <c r="Y659"/>
      <c r="Z659"/>
      <c r="AA659"/>
      <c r="AB659"/>
      <c r="AC659"/>
      <c r="AD659"/>
      <c r="AE659"/>
      <c r="AF659"/>
      <c r="AG659"/>
      <c r="AH659"/>
      <c r="AI659"/>
    </row>
    <row r="660" spans="1:35" s="33" customFormat="1" ht="15.75">
      <c r="A660" s="175"/>
      <c r="B660" s="163"/>
      <c r="C660" s="123"/>
      <c r="D660" s="123"/>
      <c r="E660" s="32"/>
      <c r="F660"/>
      <c r="G660"/>
      <c r="H660"/>
      <c r="I660"/>
      <c r="J660"/>
      <c r="K660"/>
      <c r="L660"/>
      <c r="M660"/>
      <c r="N660"/>
      <c r="O660"/>
      <c r="P660"/>
      <c r="Q660"/>
      <c r="R660"/>
      <c r="S660"/>
      <c r="T660"/>
      <c r="U660"/>
      <c r="V660"/>
      <c r="W660"/>
      <c r="X660"/>
      <c r="Y660"/>
      <c r="Z660"/>
      <c r="AA660"/>
      <c r="AB660"/>
      <c r="AC660"/>
      <c r="AD660"/>
      <c r="AE660"/>
      <c r="AF660"/>
      <c r="AG660"/>
      <c r="AH660"/>
      <c r="AI660"/>
    </row>
    <row r="661" spans="1:35" s="33" customFormat="1" ht="15.75">
      <c r="A661" s="175"/>
      <c r="B661" s="163"/>
      <c r="C661" s="123"/>
      <c r="D661" s="123"/>
      <c r="E661" s="32"/>
      <c r="F661"/>
      <c r="G661"/>
      <c r="H661"/>
      <c r="I661"/>
      <c r="J661"/>
      <c r="K661"/>
      <c r="L661"/>
      <c r="M661"/>
      <c r="N661"/>
      <c r="O661"/>
      <c r="P661"/>
      <c r="Q661"/>
      <c r="R661"/>
      <c r="S661"/>
      <c r="T661"/>
      <c r="U661"/>
      <c r="V661"/>
      <c r="W661"/>
      <c r="X661"/>
      <c r="Y661"/>
      <c r="Z661"/>
      <c r="AA661"/>
      <c r="AB661"/>
      <c r="AC661"/>
      <c r="AD661"/>
      <c r="AE661"/>
      <c r="AF661"/>
      <c r="AG661"/>
      <c r="AH661"/>
      <c r="AI661"/>
    </row>
    <row r="662" spans="1:35" s="33" customFormat="1" ht="15.75">
      <c r="A662" s="175"/>
      <c r="B662" s="163"/>
      <c r="C662" s="123"/>
      <c r="D662" s="123"/>
      <c r="E662" s="32"/>
      <c r="F662"/>
      <c r="G662"/>
      <c r="H662"/>
      <c r="I662"/>
      <c r="J662"/>
      <c r="K662"/>
      <c r="L662"/>
      <c r="M662"/>
      <c r="N662"/>
      <c r="O662"/>
      <c r="P662"/>
      <c r="Q662"/>
      <c r="R662"/>
      <c r="S662"/>
      <c r="T662"/>
      <c r="U662"/>
      <c r="V662"/>
      <c r="W662"/>
      <c r="X662"/>
      <c r="Y662"/>
      <c r="Z662"/>
      <c r="AA662"/>
      <c r="AB662"/>
      <c r="AC662"/>
      <c r="AD662"/>
      <c r="AE662"/>
      <c r="AF662"/>
      <c r="AG662"/>
      <c r="AH662"/>
      <c r="AI662"/>
    </row>
    <row r="663" spans="1:35" s="33" customFormat="1" ht="15.75">
      <c r="A663" s="175"/>
      <c r="B663" s="163"/>
      <c r="C663" s="123"/>
      <c r="D663" s="123"/>
      <c r="E663" s="32"/>
      <c r="F663"/>
      <c r="G663"/>
      <c r="H663"/>
      <c r="I663"/>
      <c r="J663"/>
      <c r="K663"/>
      <c r="L663"/>
      <c r="M663"/>
      <c r="N663"/>
      <c r="O663"/>
      <c r="P663"/>
      <c r="Q663"/>
      <c r="R663"/>
      <c r="S663"/>
      <c r="T663"/>
      <c r="U663"/>
      <c r="V663"/>
      <c r="W663"/>
      <c r="X663"/>
      <c r="Y663"/>
      <c r="Z663"/>
      <c r="AA663"/>
      <c r="AB663"/>
      <c r="AC663"/>
      <c r="AD663"/>
      <c r="AE663"/>
      <c r="AF663"/>
      <c r="AG663"/>
      <c r="AH663"/>
      <c r="AI663"/>
    </row>
    <row r="664" spans="1:35" s="33" customFormat="1" ht="15.75">
      <c r="A664" s="175"/>
      <c r="B664" s="163"/>
      <c r="C664" s="123"/>
      <c r="D664" s="123"/>
      <c r="E664" s="32"/>
      <c r="F664"/>
      <c r="G664"/>
      <c r="H664"/>
      <c r="I664"/>
      <c r="J664"/>
      <c r="K664"/>
      <c r="L664"/>
      <c r="M664"/>
      <c r="N664"/>
      <c r="O664"/>
      <c r="P664"/>
      <c r="Q664"/>
      <c r="R664"/>
      <c r="S664"/>
      <c r="T664"/>
      <c r="U664"/>
      <c r="V664"/>
      <c r="W664"/>
      <c r="X664"/>
      <c r="Y664"/>
      <c r="Z664"/>
      <c r="AA664"/>
      <c r="AB664"/>
      <c r="AC664"/>
      <c r="AD664"/>
      <c r="AE664"/>
      <c r="AF664"/>
      <c r="AG664"/>
      <c r="AH664"/>
      <c r="AI664"/>
    </row>
    <row r="665" spans="1:35" s="33" customFormat="1" ht="15.75">
      <c r="A665" s="175"/>
      <c r="B665" s="163"/>
      <c r="C665" s="123"/>
      <c r="D665" s="123"/>
      <c r="E665" s="32"/>
      <c r="F665"/>
      <c r="G665"/>
      <c r="H665"/>
      <c r="I665"/>
      <c r="J665"/>
      <c r="K665"/>
      <c r="L665"/>
      <c r="M665"/>
      <c r="N665"/>
      <c r="O665"/>
      <c r="P665"/>
      <c r="Q665"/>
      <c r="R665"/>
      <c r="S665"/>
      <c r="T665"/>
      <c r="U665"/>
      <c r="V665"/>
      <c r="W665"/>
      <c r="X665"/>
      <c r="Y665"/>
      <c r="Z665"/>
      <c r="AA665"/>
      <c r="AB665"/>
      <c r="AC665"/>
      <c r="AD665"/>
      <c r="AE665"/>
      <c r="AF665"/>
      <c r="AG665"/>
      <c r="AH665"/>
      <c r="AI665"/>
    </row>
    <row r="666" spans="1:35" s="33" customFormat="1" ht="15.75">
      <c r="A666" s="175"/>
      <c r="B666" s="163"/>
      <c r="C666" s="123"/>
      <c r="D666" s="123"/>
      <c r="E666" s="32"/>
      <c r="F666"/>
      <c r="G666"/>
      <c r="H666"/>
      <c r="I666"/>
      <c r="J666"/>
      <c r="K666"/>
      <c r="L666"/>
      <c r="M666"/>
      <c r="N666"/>
      <c r="O666"/>
      <c r="P666"/>
      <c r="Q666"/>
      <c r="R666"/>
      <c r="S666"/>
      <c r="T666"/>
      <c r="U666"/>
      <c r="V666"/>
      <c r="W666"/>
      <c r="X666"/>
      <c r="Y666"/>
      <c r="Z666"/>
      <c r="AA666"/>
      <c r="AB666"/>
      <c r="AC666"/>
      <c r="AD666"/>
      <c r="AE666"/>
      <c r="AF666"/>
      <c r="AG666"/>
      <c r="AH666"/>
      <c r="AI666"/>
    </row>
    <row r="667" spans="1:35" s="33" customFormat="1" ht="15.75">
      <c r="A667" s="175"/>
      <c r="B667" s="163"/>
      <c r="C667" s="123"/>
      <c r="D667" s="123"/>
      <c r="E667" s="32"/>
      <c r="F667"/>
      <c r="G667"/>
      <c r="H667"/>
      <c r="I667"/>
      <c r="J667"/>
      <c r="K667"/>
      <c r="L667"/>
      <c r="M667"/>
      <c r="N667"/>
      <c r="O667"/>
      <c r="P667"/>
      <c r="Q667"/>
      <c r="R667"/>
      <c r="S667"/>
      <c r="T667"/>
      <c r="U667"/>
      <c r="V667"/>
      <c r="W667"/>
      <c r="X667"/>
      <c r="Y667"/>
      <c r="Z667"/>
      <c r="AA667"/>
      <c r="AB667"/>
      <c r="AC667"/>
      <c r="AD667"/>
      <c r="AE667"/>
      <c r="AF667"/>
      <c r="AG667"/>
      <c r="AH667"/>
      <c r="AI667"/>
    </row>
    <row r="668" spans="1:35" s="33" customFormat="1" ht="15.75">
      <c r="A668" s="175"/>
      <c r="B668" s="163"/>
      <c r="C668" s="123"/>
      <c r="D668" s="123"/>
      <c r="E668" s="32"/>
      <c r="F668"/>
      <c r="G668"/>
      <c r="H668"/>
      <c r="I668"/>
      <c r="J668"/>
      <c r="K668"/>
      <c r="L668"/>
      <c r="M668"/>
      <c r="N668"/>
      <c r="O668"/>
      <c r="P668"/>
      <c r="Q668"/>
      <c r="R668"/>
      <c r="S668"/>
      <c r="T668"/>
      <c r="U668"/>
      <c r="V668"/>
      <c r="W668"/>
      <c r="X668"/>
      <c r="Y668"/>
      <c r="Z668"/>
      <c r="AA668"/>
      <c r="AB668"/>
      <c r="AC668"/>
      <c r="AD668"/>
      <c r="AE668"/>
      <c r="AF668"/>
      <c r="AG668"/>
      <c r="AH668"/>
      <c r="AI668"/>
    </row>
    <row r="669" spans="1:35" s="33" customFormat="1" ht="15.75">
      <c r="A669" s="175"/>
      <c r="B669" s="163"/>
      <c r="C669" s="123"/>
      <c r="D669" s="123"/>
      <c r="E669" s="32"/>
      <c r="F669"/>
      <c r="G669"/>
      <c r="H669"/>
      <c r="I669"/>
      <c r="J669"/>
      <c r="K669"/>
      <c r="L669"/>
      <c r="M669"/>
      <c r="N669"/>
      <c r="O669"/>
      <c r="P669"/>
      <c r="Q669"/>
      <c r="R669"/>
      <c r="S669"/>
      <c r="T669"/>
      <c r="U669"/>
      <c r="V669"/>
      <c r="W669"/>
      <c r="X669"/>
      <c r="Y669"/>
      <c r="Z669"/>
      <c r="AA669"/>
      <c r="AB669"/>
      <c r="AC669"/>
      <c r="AD669"/>
      <c r="AE669"/>
      <c r="AF669"/>
      <c r="AG669"/>
      <c r="AH669"/>
      <c r="AI669"/>
    </row>
    <row r="670" spans="1:35" s="33" customFormat="1" ht="15.75">
      <c r="A670" s="175"/>
      <c r="B670" s="163"/>
      <c r="C670" s="123"/>
      <c r="D670" s="123"/>
      <c r="E670" s="32"/>
      <c r="F670"/>
      <c r="G670"/>
      <c r="H670"/>
      <c r="I670"/>
      <c r="J670"/>
      <c r="K670"/>
      <c r="L670"/>
      <c r="M670"/>
      <c r="N670"/>
      <c r="O670"/>
      <c r="P670"/>
      <c r="Q670"/>
      <c r="R670"/>
      <c r="S670"/>
      <c r="T670"/>
      <c r="U670"/>
      <c r="V670"/>
      <c r="W670"/>
      <c r="X670"/>
      <c r="Y670"/>
      <c r="Z670"/>
      <c r="AA670"/>
      <c r="AB670"/>
      <c r="AC670"/>
      <c r="AD670"/>
      <c r="AE670"/>
      <c r="AF670"/>
      <c r="AG670"/>
      <c r="AH670"/>
      <c r="AI670"/>
    </row>
    <row r="671" spans="1:35" s="33" customFormat="1" ht="15.75">
      <c r="A671" s="175"/>
      <c r="B671" s="163"/>
      <c r="C671" s="123"/>
      <c r="D671" s="123"/>
      <c r="E671" s="32"/>
      <c r="F671"/>
      <c r="G671"/>
      <c r="H671"/>
      <c r="I671"/>
      <c r="J671"/>
      <c r="K671"/>
      <c r="L671"/>
      <c r="M671"/>
      <c r="N671"/>
      <c r="O671"/>
      <c r="P671"/>
      <c r="Q671"/>
      <c r="R671"/>
      <c r="S671"/>
      <c r="T671"/>
      <c r="U671"/>
      <c r="V671"/>
      <c r="W671"/>
      <c r="X671"/>
      <c r="Y671"/>
      <c r="Z671"/>
      <c r="AA671"/>
      <c r="AB671"/>
      <c r="AC671"/>
      <c r="AD671"/>
      <c r="AE671"/>
      <c r="AF671"/>
      <c r="AG671"/>
      <c r="AH671"/>
      <c r="AI671"/>
    </row>
    <row r="672" spans="1:35" s="33" customFormat="1" ht="15.75">
      <c r="A672" s="175"/>
      <c r="B672" s="163"/>
      <c r="C672" s="123"/>
      <c r="D672" s="123"/>
      <c r="E672" s="32"/>
      <c r="F672"/>
      <c r="G672"/>
      <c r="H672"/>
      <c r="I672"/>
      <c r="J672"/>
      <c r="K672"/>
      <c r="L672"/>
      <c r="M672"/>
      <c r="N672"/>
      <c r="O672"/>
      <c r="P672"/>
      <c r="Q672"/>
      <c r="R672"/>
      <c r="S672"/>
      <c r="T672"/>
      <c r="U672"/>
      <c r="V672"/>
      <c r="W672"/>
      <c r="X672"/>
      <c r="Y672"/>
      <c r="Z672"/>
      <c r="AA672"/>
      <c r="AB672"/>
      <c r="AC672"/>
      <c r="AD672"/>
      <c r="AE672"/>
      <c r="AF672"/>
      <c r="AG672"/>
      <c r="AH672"/>
      <c r="AI672"/>
    </row>
    <row r="673" spans="1:35" s="33" customFormat="1" ht="15.75">
      <c r="A673" s="175"/>
      <c r="B673" s="163"/>
      <c r="C673" s="123"/>
      <c r="D673" s="123"/>
      <c r="E673" s="32"/>
      <c r="F673"/>
      <c r="G673"/>
      <c r="H673"/>
      <c r="I673"/>
      <c r="J673"/>
      <c r="K673"/>
      <c r="L673"/>
      <c r="M673"/>
      <c r="N673"/>
      <c r="O673"/>
      <c r="P673"/>
      <c r="Q673"/>
      <c r="R673"/>
      <c r="S673"/>
      <c r="T673"/>
      <c r="U673"/>
      <c r="V673"/>
      <c r="W673"/>
      <c r="X673"/>
      <c r="Y673"/>
      <c r="Z673"/>
      <c r="AA673"/>
      <c r="AB673"/>
      <c r="AC673"/>
      <c r="AD673"/>
      <c r="AE673"/>
      <c r="AF673"/>
      <c r="AG673"/>
      <c r="AH673"/>
      <c r="AI673"/>
    </row>
    <row r="674" spans="1:35" s="33" customFormat="1" ht="15.75">
      <c r="A674" s="175"/>
      <c r="B674" s="163"/>
      <c r="C674" s="123"/>
      <c r="D674" s="123"/>
      <c r="E674" s="32"/>
      <c r="F674"/>
      <c r="G674"/>
      <c r="H674"/>
      <c r="I674"/>
      <c r="J674"/>
      <c r="K674"/>
      <c r="L674"/>
      <c r="M674"/>
      <c r="N674"/>
      <c r="O674"/>
      <c r="P674"/>
      <c r="Q674"/>
      <c r="R674"/>
      <c r="S674"/>
      <c r="T674"/>
      <c r="U674"/>
      <c r="V674"/>
      <c r="W674"/>
      <c r="X674"/>
      <c r="Y674"/>
      <c r="Z674"/>
      <c r="AA674"/>
      <c r="AB674"/>
      <c r="AC674"/>
      <c r="AD674"/>
      <c r="AE674"/>
      <c r="AF674"/>
      <c r="AG674"/>
      <c r="AH674"/>
      <c r="AI674"/>
    </row>
    <row r="675" spans="1:35" s="33" customFormat="1" ht="15.75">
      <c r="A675" s="175"/>
      <c r="B675" s="163"/>
      <c r="C675" s="123"/>
      <c r="D675" s="123"/>
      <c r="E675" s="32"/>
      <c r="F675"/>
      <c r="G675"/>
      <c r="H675"/>
      <c r="I675"/>
      <c r="J675"/>
      <c r="K675"/>
      <c r="L675"/>
      <c r="M675"/>
      <c r="N675"/>
      <c r="O675"/>
      <c r="P675"/>
      <c r="Q675"/>
      <c r="R675"/>
      <c r="S675"/>
      <c r="T675"/>
      <c r="U675"/>
      <c r="V675"/>
      <c r="W675"/>
      <c r="X675"/>
      <c r="Y675"/>
      <c r="Z675"/>
      <c r="AA675"/>
      <c r="AB675"/>
      <c r="AC675"/>
      <c r="AD675"/>
      <c r="AE675"/>
      <c r="AF675"/>
      <c r="AG675"/>
      <c r="AH675"/>
      <c r="AI675"/>
    </row>
    <row r="676" spans="1:35" s="33" customFormat="1" ht="15.75">
      <c r="A676" s="175"/>
      <c r="B676" s="163"/>
      <c r="C676" s="123"/>
      <c r="D676" s="123"/>
      <c r="E676" s="32"/>
      <c r="F676"/>
      <c r="G676"/>
      <c r="H676"/>
      <c r="I676"/>
      <c r="J676"/>
      <c r="K676"/>
      <c r="L676"/>
      <c r="M676"/>
      <c r="N676"/>
      <c r="O676"/>
      <c r="P676"/>
      <c r="Q676"/>
      <c r="R676"/>
      <c r="S676"/>
      <c r="T676"/>
      <c r="U676"/>
      <c r="V676"/>
      <c r="W676"/>
      <c r="X676"/>
      <c r="Y676"/>
      <c r="Z676"/>
      <c r="AA676"/>
      <c r="AB676"/>
      <c r="AC676"/>
      <c r="AD676"/>
      <c r="AE676"/>
      <c r="AF676"/>
      <c r="AG676"/>
      <c r="AH676"/>
      <c r="AI676"/>
    </row>
    <row r="677" spans="1:35" s="33" customFormat="1" ht="15.75">
      <c r="A677" s="175"/>
      <c r="B677" s="163"/>
      <c r="C677" s="123"/>
      <c r="D677" s="123"/>
      <c r="E677" s="32"/>
      <c r="F677"/>
      <c r="G677"/>
      <c r="H677"/>
      <c r="I677"/>
      <c r="J677"/>
      <c r="K677"/>
      <c r="L677"/>
      <c r="M677"/>
      <c r="N677"/>
      <c r="O677"/>
      <c r="P677"/>
      <c r="Q677"/>
      <c r="R677"/>
      <c r="S677"/>
      <c r="T677"/>
      <c r="U677"/>
      <c r="V677"/>
      <c r="W677"/>
      <c r="X677"/>
      <c r="Y677"/>
      <c r="Z677"/>
      <c r="AA677"/>
      <c r="AB677"/>
      <c r="AC677"/>
      <c r="AD677"/>
      <c r="AE677"/>
      <c r="AF677"/>
      <c r="AG677"/>
      <c r="AH677"/>
      <c r="AI677"/>
    </row>
    <row r="678" spans="1:35" s="33" customFormat="1" ht="15.75">
      <c r="A678" s="175"/>
      <c r="B678" s="163"/>
      <c r="C678" s="123"/>
      <c r="D678" s="123"/>
      <c r="E678" s="32"/>
      <c r="F678"/>
      <c r="G678"/>
      <c r="H678"/>
      <c r="I678"/>
      <c r="J678"/>
      <c r="K678"/>
      <c r="L678"/>
      <c r="M678"/>
      <c r="N678"/>
      <c r="O678"/>
      <c r="P678"/>
      <c r="Q678"/>
      <c r="R678"/>
      <c r="S678"/>
      <c r="T678"/>
      <c r="U678"/>
      <c r="V678"/>
      <c r="W678"/>
      <c r="X678"/>
      <c r="Y678"/>
      <c r="Z678"/>
      <c r="AA678"/>
      <c r="AB678"/>
      <c r="AC678"/>
      <c r="AD678"/>
      <c r="AE678"/>
      <c r="AF678"/>
      <c r="AG678"/>
      <c r="AH678"/>
      <c r="AI678"/>
    </row>
    <row r="679" spans="1:35" s="33" customFormat="1" ht="15.75">
      <c r="A679" s="175"/>
      <c r="B679" s="163"/>
      <c r="C679" s="123"/>
      <c r="D679" s="123"/>
      <c r="E679" s="32"/>
      <c r="F679"/>
      <c r="G679"/>
      <c r="H679"/>
      <c r="I679"/>
      <c r="J679"/>
      <c r="K679"/>
      <c r="L679"/>
      <c r="M679"/>
      <c r="N679"/>
      <c r="O679"/>
      <c r="P679"/>
      <c r="Q679"/>
      <c r="R679"/>
      <c r="S679"/>
      <c r="T679"/>
      <c r="U679"/>
      <c r="V679"/>
      <c r="W679"/>
      <c r="X679"/>
      <c r="Y679"/>
      <c r="Z679"/>
      <c r="AA679"/>
      <c r="AB679"/>
      <c r="AC679"/>
      <c r="AD679"/>
      <c r="AE679"/>
      <c r="AF679"/>
      <c r="AG679"/>
      <c r="AH679"/>
      <c r="AI679"/>
    </row>
    <row r="680" spans="1:35" s="33" customFormat="1" ht="15.75">
      <c r="A680" s="175"/>
      <c r="B680" s="163"/>
      <c r="C680" s="123"/>
      <c r="D680" s="123"/>
      <c r="E680" s="32"/>
      <c r="F680"/>
      <c r="G680"/>
      <c r="H680"/>
      <c r="I680"/>
      <c r="J680"/>
      <c r="K680"/>
      <c r="L680"/>
      <c r="M680"/>
      <c r="N680"/>
      <c r="O680"/>
      <c r="P680"/>
      <c r="Q680"/>
      <c r="R680"/>
      <c r="S680"/>
      <c r="T680"/>
      <c r="U680"/>
      <c r="V680"/>
      <c r="W680"/>
      <c r="X680"/>
      <c r="Y680"/>
      <c r="Z680"/>
      <c r="AA680"/>
      <c r="AB680"/>
      <c r="AC680"/>
      <c r="AD680"/>
      <c r="AE680"/>
      <c r="AF680"/>
      <c r="AG680"/>
      <c r="AH680"/>
      <c r="AI680"/>
    </row>
    <row r="681" spans="1:35" s="33" customFormat="1" ht="15.75">
      <c r="A681" s="175"/>
      <c r="B681" s="163"/>
      <c r="C681" s="123"/>
      <c r="D681" s="123"/>
      <c r="E681" s="32"/>
      <c r="F681"/>
      <c r="G681"/>
      <c r="H681"/>
      <c r="I681"/>
      <c r="J681"/>
      <c r="K681"/>
      <c r="L681"/>
      <c r="M681"/>
      <c r="N681"/>
      <c r="O681"/>
      <c r="P681"/>
      <c r="Q681"/>
      <c r="R681"/>
      <c r="S681"/>
      <c r="T681"/>
      <c r="U681"/>
      <c r="V681"/>
      <c r="W681"/>
      <c r="X681"/>
      <c r="Y681"/>
      <c r="Z681"/>
      <c r="AA681"/>
      <c r="AB681"/>
      <c r="AC681"/>
      <c r="AD681"/>
      <c r="AE681"/>
      <c r="AF681"/>
      <c r="AG681"/>
      <c r="AH681"/>
      <c r="AI681"/>
    </row>
    <row r="682" spans="1:35" s="33" customFormat="1" ht="15.75">
      <c r="A682" s="175"/>
      <c r="B682" s="163"/>
      <c r="C682" s="123"/>
      <c r="D682" s="123"/>
      <c r="E682" s="32"/>
      <c r="F682"/>
      <c r="G682"/>
      <c r="H682"/>
      <c r="I682"/>
      <c r="J682"/>
      <c r="K682"/>
      <c r="L682"/>
      <c r="M682"/>
      <c r="N682"/>
      <c r="O682"/>
      <c r="P682"/>
      <c r="Q682"/>
      <c r="R682"/>
      <c r="S682"/>
      <c r="T682"/>
      <c r="U682"/>
      <c r="V682"/>
      <c r="W682"/>
      <c r="X682"/>
      <c r="Y682"/>
      <c r="Z682"/>
      <c r="AA682"/>
      <c r="AB682"/>
      <c r="AC682"/>
      <c r="AD682"/>
      <c r="AE682"/>
      <c r="AF682"/>
      <c r="AG682"/>
      <c r="AH682"/>
      <c r="AI682"/>
    </row>
    <row r="683" spans="1:35" s="33" customFormat="1" ht="15.75">
      <c r="A683" s="175"/>
      <c r="B683" s="163"/>
      <c r="C683" s="123"/>
      <c r="D683" s="123"/>
      <c r="E683" s="32"/>
      <c r="F683"/>
      <c r="G683"/>
      <c r="H683"/>
      <c r="I683"/>
      <c r="J683"/>
      <c r="K683"/>
      <c r="L683"/>
      <c r="M683"/>
      <c r="N683"/>
      <c r="O683"/>
      <c r="P683"/>
      <c r="Q683"/>
      <c r="R683"/>
      <c r="S683"/>
      <c r="T683"/>
      <c r="U683"/>
      <c r="V683"/>
      <c r="W683"/>
      <c r="X683"/>
      <c r="Y683"/>
      <c r="Z683"/>
      <c r="AA683"/>
      <c r="AB683"/>
      <c r="AC683"/>
      <c r="AD683"/>
      <c r="AE683"/>
      <c r="AF683"/>
      <c r="AG683"/>
      <c r="AH683"/>
      <c r="AI683"/>
    </row>
    <row r="684" spans="1:35" s="33" customFormat="1" ht="15.75">
      <c r="A684" s="175"/>
      <c r="B684" s="163"/>
      <c r="C684" s="123"/>
      <c r="D684" s="123"/>
      <c r="E684" s="32"/>
      <c r="F684"/>
      <c r="G684"/>
      <c r="H684"/>
      <c r="I684"/>
      <c r="J684"/>
      <c r="K684"/>
      <c r="L684"/>
      <c r="M684"/>
      <c r="N684"/>
      <c r="O684"/>
      <c r="P684"/>
      <c r="Q684"/>
      <c r="R684"/>
      <c r="S684"/>
      <c r="T684"/>
      <c r="U684"/>
      <c r="V684"/>
      <c r="W684"/>
      <c r="X684"/>
      <c r="Y684"/>
      <c r="Z684"/>
      <c r="AA684"/>
      <c r="AB684"/>
      <c r="AC684"/>
      <c r="AD684"/>
      <c r="AE684"/>
      <c r="AF684"/>
      <c r="AG684"/>
      <c r="AH684"/>
      <c r="AI684"/>
    </row>
    <row r="685" spans="1:35" s="33" customFormat="1" ht="15.75">
      <c r="A685" s="175"/>
      <c r="B685" s="163"/>
      <c r="C685" s="123"/>
      <c r="D685" s="123"/>
      <c r="E685" s="32"/>
      <c r="F685"/>
      <c r="G685"/>
      <c r="H685"/>
      <c r="I685"/>
      <c r="J685"/>
      <c r="K685"/>
      <c r="L685"/>
      <c r="M685"/>
      <c r="N685"/>
      <c r="O685"/>
      <c r="P685"/>
      <c r="Q685"/>
      <c r="R685"/>
      <c r="S685"/>
      <c r="T685"/>
      <c r="U685"/>
      <c r="V685"/>
      <c r="W685"/>
      <c r="X685"/>
      <c r="Y685"/>
      <c r="Z685"/>
      <c r="AA685"/>
      <c r="AB685"/>
      <c r="AC685"/>
      <c r="AD685"/>
      <c r="AE685"/>
      <c r="AF685"/>
      <c r="AG685"/>
      <c r="AH685"/>
      <c r="AI685"/>
    </row>
    <row r="686" spans="1:35" s="33" customFormat="1" ht="15.75">
      <c r="A686" s="175"/>
      <c r="B686" s="163"/>
      <c r="C686" s="123"/>
      <c r="D686" s="123"/>
      <c r="E686" s="32"/>
      <c r="F686"/>
      <c r="G686"/>
      <c r="H686"/>
      <c r="I686"/>
      <c r="J686"/>
      <c r="K686"/>
      <c r="L686"/>
      <c r="M686"/>
      <c r="N686"/>
      <c r="O686"/>
      <c r="P686"/>
      <c r="Q686"/>
      <c r="R686"/>
      <c r="S686"/>
      <c r="T686"/>
      <c r="U686"/>
      <c r="V686"/>
      <c r="W686"/>
      <c r="X686"/>
      <c r="Y686"/>
      <c r="Z686"/>
      <c r="AA686"/>
      <c r="AB686"/>
      <c r="AC686"/>
      <c r="AD686"/>
      <c r="AE686"/>
      <c r="AF686"/>
      <c r="AG686"/>
      <c r="AH686"/>
      <c r="AI686"/>
    </row>
    <row r="687" spans="1:35" s="33" customFormat="1" ht="15.75">
      <c r="A687" s="175"/>
      <c r="B687" s="163"/>
      <c r="C687" s="123"/>
      <c r="D687" s="123"/>
      <c r="E687" s="32"/>
      <c r="F687"/>
      <c r="G687"/>
      <c r="H687"/>
      <c r="I687"/>
      <c r="J687"/>
      <c r="K687"/>
      <c r="L687"/>
      <c r="M687"/>
      <c r="N687"/>
      <c r="O687"/>
      <c r="P687"/>
      <c r="Q687"/>
      <c r="R687"/>
      <c r="S687"/>
      <c r="T687"/>
      <c r="U687"/>
      <c r="V687"/>
      <c r="W687"/>
      <c r="X687"/>
      <c r="Y687"/>
      <c r="Z687"/>
      <c r="AA687"/>
      <c r="AB687"/>
      <c r="AC687"/>
      <c r="AD687"/>
      <c r="AE687"/>
      <c r="AF687"/>
      <c r="AG687"/>
      <c r="AH687"/>
      <c r="AI687"/>
    </row>
    <row r="688" spans="1:35" s="33" customFormat="1" ht="15.75">
      <c r="A688" s="175"/>
      <c r="B688" s="163"/>
      <c r="C688" s="123"/>
      <c r="D688" s="123"/>
      <c r="E688" s="32"/>
      <c r="F688"/>
      <c r="G688"/>
      <c r="H688"/>
      <c r="I688"/>
      <c r="J688"/>
      <c r="K688"/>
      <c r="L688"/>
      <c r="M688"/>
      <c r="N688"/>
      <c r="O688"/>
      <c r="P688"/>
      <c r="Q688"/>
      <c r="R688"/>
      <c r="S688"/>
      <c r="T688"/>
      <c r="U688"/>
      <c r="V688"/>
      <c r="W688"/>
      <c r="X688"/>
      <c r="Y688"/>
      <c r="Z688"/>
      <c r="AA688"/>
      <c r="AB688"/>
      <c r="AC688"/>
      <c r="AD688"/>
      <c r="AE688"/>
      <c r="AF688"/>
      <c r="AG688"/>
      <c r="AH688"/>
      <c r="AI688"/>
    </row>
    <row r="689" spans="1:35" s="33" customFormat="1" ht="15.75">
      <c r="A689" s="175"/>
      <c r="B689" s="163"/>
      <c r="C689" s="123"/>
      <c r="D689" s="123"/>
      <c r="E689" s="32"/>
      <c r="F689"/>
      <c r="G689"/>
      <c r="H689"/>
      <c r="I689"/>
      <c r="J689"/>
      <c r="K689"/>
      <c r="L689"/>
      <c r="M689"/>
      <c r="N689"/>
      <c r="O689"/>
      <c r="P689"/>
      <c r="Q689"/>
      <c r="R689"/>
      <c r="S689"/>
      <c r="T689"/>
      <c r="U689"/>
      <c r="V689"/>
      <c r="W689"/>
      <c r="X689"/>
      <c r="Y689"/>
      <c r="Z689"/>
      <c r="AA689"/>
      <c r="AB689"/>
      <c r="AC689"/>
      <c r="AD689"/>
      <c r="AE689"/>
      <c r="AF689"/>
      <c r="AG689"/>
      <c r="AH689"/>
      <c r="AI689"/>
    </row>
    <row r="690" spans="1:35" s="33" customFormat="1" ht="15.75">
      <c r="A690" s="175"/>
      <c r="B690" s="163"/>
      <c r="C690" s="123"/>
      <c r="D690" s="123"/>
      <c r="E690" s="32"/>
      <c r="F690"/>
      <c r="G690"/>
      <c r="H690"/>
      <c r="I690"/>
      <c r="J690"/>
      <c r="K690"/>
      <c r="L690"/>
      <c r="M690"/>
      <c r="N690"/>
      <c r="O690"/>
      <c r="P690"/>
      <c r="Q690"/>
      <c r="R690"/>
      <c r="S690"/>
      <c r="T690"/>
      <c r="U690"/>
      <c r="V690"/>
      <c r="W690"/>
      <c r="X690"/>
      <c r="Y690"/>
      <c r="Z690"/>
      <c r="AA690"/>
      <c r="AB690"/>
      <c r="AC690"/>
      <c r="AD690"/>
      <c r="AE690"/>
      <c r="AF690"/>
      <c r="AG690"/>
      <c r="AH690"/>
      <c r="AI690"/>
    </row>
    <row r="691" spans="1:35" s="33" customFormat="1" ht="15.75">
      <c r="A691" s="175"/>
      <c r="B691" s="163"/>
      <c r="C691" s="123"/>
      <c r="D691" s="123"/>
      <c r="E691" s="32"/>
      <c r="F691"/>
      <c r="G691"/>
      <c r="H691"/>
      <c r="I691"/>
      <c r="J691"/>
      <c r="K691"/>
      <c r="L691"/>
      <c r="M691"/>
      <c r="N691"/>
      <c r="O691"/>
      <c r="P691"/>
      <c r="Q691"/>
      <c r="R691"/>
      <c r="S691"/>
      <c r="T691"/>
      <c r="U691"/>
      <c r="V691"/>
      <c r="W691"/>
      <c r="X691"/>
      <c r="Y691"/>
      <c r="Z691"/>
      <c r="AA691"/>
      <c r="AB691"/>
      <c r="AC691"/>
      <c r="AD691"/>
      <c r="AE691"/>
      <c r="AF691"/>
      <c r="AG691"/>
      <c r="AH691"/>
      <c r="AI691"/>
    </row>
    <row r="692" spans="1:35" s="33" customFormat="1" ht="15.75">
      <c r="A692" s="175"/>
      <c r="B692" s="163"/>
      <c r="C692" s="123"/>
      <c r="D692" s="123"/>
      <c r="E692" s="32"/>
      <c r="F692"/>
      <c r="G692"/>
      <c r="H692"/>
      <c r="I692"/>
      <c r="J692"/>
      <c r="K692"/>
      <c r="L692"/>
      <c r="M692"/>
      <c r="N692"/>
      <c r="O692"/>
      <c r="P692"/>
      <c r="Q692"/>
      <c r="R692"/>
      <c r="S692"/>
      <c r="T692"/>
      <c r="U692"/>
      <c r="V692"/>
      <c r="W692"/>
      <c r="X692"/>
      <c r="Y692"/>
      <c r="Z692"/>
      <c r="AA692"/>
      <c r="AB692"/>
      <c r="AC692"/>
      <c r="AD692"/>
      <c r="AE692"/>
      <c r="AF692"/>
      <c r="AG692"/>
      <c r="AH692"/>
      <c r="AI692"/>
    </row>
    <row r="693" spans="1:35" s="33" customFormat="1" ht="15.75">
      <c r="A693" s="175"/>
      <c r="B693" s="163"/>
      <c r="C693" s="123"/>
      <c r="D693" s="123"/>
      <c r="E693" s="32"/>
      <c r="F693"/>
      <c r="G693"/>
      <c r="H693"/>
      <c r="I693"/>
      <c r="J693"/>
      <c r="K693"/>
      <c r="L693"/>
      <c r="M693"/>
      <c r="N693"/>
      <c r="O693"/>
      <c r="P693"/>
      <c r="Q693"/>
      <c r="R693"/>
      <c r="S693"/>
      <c r="T693"/>
      <c r="U693"/>
      <c r="V693"/>
      <c r="W693"/>
      <c r="X693"/>
      <c r="Y693"/>
      <c r="Z693"/>
      <c r="AA693"/>
      <c r="AB693"/>
      <c r="AC693"/>
      <c r="AD693"/>
      <c r="AE693"/>
      <c r="AF693"/>
      <c r="AG693"/>
      <c r="AH693"/>
      <c r="AI693"/>
    </row>
    <row r="694" spans="1:35" s="33" customFormat="1" ht="15.75">
      <c r="A694" s="175"/>
      <c r="B694" s="163"/>
      <c r="C694" s="123"/>
      <c r="D694" s="123"/>
      <c r="E694" s="32"/>
      <c r="F694"/>
      <c r="G694"/>
      <c r="H694"/>
      <c r="I694"/>
      <c r="J694"/>
      <c r="K694"/>
      <c r="L694"/>
      <c r="M694"/>
      <c r="N694"/>
      <c r="O694"/>
      <c r="P694"/>
      <c r="Q694"/>
      <c r="R694"/>
      <c r="S694"/>
      <c r="T694"/>
      <c r="U694"/>
      <c r="V694"/>
      <c r="W694"/>
      <c r="X694"/>
      <c r="Y694"/>
      <c r="Z694"/>
      <c r="AA694"/>
      <c r="AB694"/>
      <c r="AC694"/>
      <c r="AD694"/>
      <c r="AE694"/>
      <c r="AF694"/>
      <c r="AG694"/>
      <c r="AH694"/>
      <c r="AI694"/>
    </row>
    <row r="695" spans="1:35" s="33" customFormat="1" ht="15.75">
      <c r="A695" s="175"/>
      <c r="B695" s="163"/>
      <c r="C695" s="123"/>
      <c r="D695" s="123"/>
      <c r="E695" s="32"/>
      <c r="F695"/>
      <c r="G695"/>
      <c r="H695"/>
      <c r="I695"/>
      <c r="J695"/>
      <c r="K695"/>
      <c r="L695"/>
      <c r="M695"/>
      <c r="N695"/>
      <c r="O695"/>
      <c r="P695"/>
      <c r="Q695"/>
      <c r="R695"/>
      <c r="S695"/>
      <c r="T695"/>
      <c r="U695"/>
      <c r="V695"/>
      <c r="W695"/>
      <c r="X695"/>
      <c r="Y695"/>
      <c r="Z695"/>
      <c r="AA695"/>
      <c r="AB695"/>
      <c r="AC695"/>
      <c r="AD695"/>
      <c r="AE695"/>
      <c r="AF695"/>
      <c r="AG695"/>
      <c r="AH695"/>
      <c r="AI695"/>
    </row>
    <row r="696" spans="1:35" s="33" customFormat="1" ht="15.75">
      <c r="A696" s="175"/>
      <c r="B696" s="163"/>
      <c r="C696" s="123"/>
      <c r="D696" s="123"/>
      <c r="E696" s="32"/>
      <c r="F696"/>
      <c r="G696"/>
      <c r="H696"/>
      <c r="I696"/>
      <c r="J696"/>
      <c r="K696"/>
      <c r="L696"/>
      <c r="M696"/>
      <c r="N696"/>
      <c r="O696"/>
      <c r="P696"/>
      <c r="Q696"/>
      <c r="R696"/>
      <c r="S696"/>
      <c r="T696"/>
      <c r="U696"/>
      <c r="V696"/>
      <c r="W696"/>
      <c r="X696"/>
      <c r="Y696"/>
      <c r="Z696"/>
      <c r="AA696"/>
      <c r="AB696"/>
      <c r="AC696"/>
      <c r="AD696"/>
      <c r="AE696"/>
      <c r="AF696"/>
      <c r="AG696"/>
      <c r="AH696"/>
      <c r="AI696"/>
    </row>
    <row r="697" spans="1:35" s="33" customFormat="1" ht="15.75">
      <c r="A697" s="175"/>
      <c r="B697" s="163"/>
      <c r="C697" s="123"/>
      <c r="D697" s="123"/>
      <c r="E697" s="32"/>
      <c r="F697"/>
      <c r="G697"/>
      <c r="H697"/>
      <c r="I697"/>
      <c r="J697"/>
      <c r="K697"/>
      <c r="L697"/>
      <c r="M697"/>
      <c r="N697"/>
      <c r="O697"/>
      <c r="P697"/>
      <c r="Q697"/>
      <c r="R697"/>
      <c r="S697"/>
      <c r="T697"/>
      <c r="U697"/>
      <c r="V697"/>
      <c r="W697"/>
      <c r="X697"/>
      <c r="Y697"/>
      <c r="Z697"/>
      <c r="AA697"/>
      <c r="AB697"/>
      <c r="AC697"/>
      <c r="AD697"/>
      <c r="AE697"/>
      <c r="AF697"/>
      <c r="AG697"/>
      <c r="AH697"/>
      <c r="AI697"/>
    </row>
    <row r="698" spans="1:35" s="33" customFormat="1" ht="15.75">
      <c r="A698" s="175"/>
      <c r="B698" s="163"/>
      <c r="C698" s="123"/>
      <c r="D698" s="123"/>
      <c r="E698" s="32"/>
      <c r="F698"/>
      <c r="G698"/>
      <c r="H698"/>
      <c r="I698"/>
      <c r="J698"/>
      <c r="K698"/>
      <c r="L698"/>
      <c r="M698"/>
      <c r="N698"/>
      <c r="O698"/>
      <c r="P698"/>
      <c r="Q698"/>
      <c r="R698"/>
      <c r="S698"/>
      <c r="T698"/>
      <c r="U698"/>
      <c r="V698"/>
      <c r="W698"/>
      <c r="X698"/>
      <c r="Y698"/>
      <c r="Z698"/>
      <c r="AA698"/>
      <c r="AB698"/>
      <c r="AC698"/>
      <c r="AD698"/>
      <c r="AE698"/>
      <c r="AF698"/>
      <c r="AG698"/>
      <c r="AH698"/>
      <c r="AI698"/>
    </row>
    <row r="699" spans="1:35" s="33" customFormat="1" ht="15.75">
      <c r="A699" s="175"/>
      <c r="B699" s="163"/>
      <c r="C699" s="123"/>
      <c r="D699" s="123"/>
      <c r="E699" s="32"/>
      <c r="F699"/>
      <c r="G699"/>
      <c r="H699"/>
      <c r="I699"/>
      <c r="J699"/>
      <c r="K699"/>
      <c r="L699"/>
      <c r="M699"/>
      <c r="N699"/>
      <c r="O699"/>
      <c r="P699"/>
      <c r="Q699"/>
      <c r="R699"/>
      <c r="S699"/>
      <c r="T699"/>
      <c r="U699"/>
      <c r="V699"/>
      <c r="W699"/>
      <c r="X699"/>
      <c r="Y699"/>
      <c r="Z699"/>
      <c r="AA699"/>
      <c r="AB699"/>
      <c r="AC699"/>
      <c r="AD699"/>
      <c r="AE699"/>
      <c r="AF699"/>
      <c r="AG699"/>
      <c r="AH699"/>
      <c r="AI699"/>
    </row>
    <row r="700" spans="1:35" s="33" customFormat="1" ht="15.75">
      <c r="A700" s="175"/>
      <c r="B700" s="163"/>
      <c r="C700" s="123"/>
      <c r="D700" s="123"/>
      <c r="E700" s="32"/>
      <c r="F700"/>
      <c r="G700"/>
      <c r="H700"/>
      <c r="I700"/>
      <c r="J700"/>
      <c r="K700"/>
      <c r="L700"/>
      <c r="M700"/>
      <c r="N700"/>
      <c r="O700"/>
      <c r="P700"/>
      <c r="Q700"/>
      <c r="R700"/>
      <c r="S700"/>
      <c r="T700"/>
      <c r="U700"/>
      <c r="V700"/>
      <c r="W700"/>
      <c r="X700"/>
      <c r="Y700"/>
      <c r="Z700"/>
      <c r="AA700"/>
      <c r="AB700"/>
      <c r="AC700"/>
      <c r="AD700"/>
      <c r="AE700"/>
      <c r="AF700"/>
      <c r="AG700"/>
      <c r="AH700"/>
      <c r="AI700"/>
    </row>
    <row r="701" spans="1:35" s="33" customFormat="1" ht="15.75">
      <c r="A701" s="175"/>
      <c r="B701" s="163"/>
      <c r="C701" s="123"/>
      <c r="D701" s="123"/>
      <c r="E701" s="32"/>
      <c r="F701"/>
      <c r="G701"/>
      <c r="H701"/>
      <c r="I701"/>
      <c r="J701"/>
      <c r="K701"/>
      <c r="L701"/>
      <c r="M701"/>
      <c r="N701"/>
      <c r="O701"/>
      <c r="P701"/>
      <c r="Q701"/>
      <c r="R701"/>
      <c r="S701"/>
      <c r="T701"/>
      <c r="U701"/>
      <c r="V701"/>
      <c r="W701"/>
      <c r="X701"/>
      <c r="Y701"/>
      <c r="Z701"/>
      <c r="AA701"/>
      <c r="AB701"/>
      <c r="AC701"/>
      <c r="AD701"/>
      <c r="AE701"/>
      <c r="AF701"/>
      <c r="AG701"/>
      <c r="AH701"/>
      <c r="AI701"/>
    </row>
    <row r="702" spans="1:35" s="33" customFormat="1" ht="15.75">
      <c r="A702" s="175"/>
      <c r="B702" s="163"/>
      <c r="C702" s="123"/>
      <c r="D702" s="123"/>
      <c r="E702" s="32"/>
      <c r="F702"/>
      <c r="G702"/>
      <c r="H702"/>
      <c r="I702"/>
      <c r="J702"/>
      <c r="K702"/>
      <c r="L702"/>
      <c r="M702"/>
      <c r="N702"/>
      <c r="O702"/>
      <c r="P702"/>
      <c r="Q702"/>
      <c r="R702"/>
      <c r="S702"/>
      <c r="T702"/>
      <c r="U702"/>
      <c r="V702"/>
      <c r="W702"/>
      <c r="X702"/>
      <c r="Y702"/>
      <c r="Z702"/>
      <c r="AA702"/>
      <c r="AB702"/>
      <c r="AC702"/>
      <c r="AD702"/>
      <c r="AE702"/>
      <c r="AF702"/>
      <c r="AG702"/>
      <c r="AH702"/>
      <c r="AI702"/>
    </row>
    <row r="703" spans="1:35" s="33" customFormat="1" ht="15.75">
      <c r="A703" s="175"/>
      <c r="B703" s="163"/>
      <c r="C703" s="123"/>
      <c r="D703" s="123"/>
      <c r="E703" s="32"/>
      <c r="F703"/>
      <c r="G703"/>
      <c r="H703"/>
      <c r="I703"/>
      <c r="J703"/>
      <c r="K703"/>
      <c r="L703"/>
      <c r="M703"/>
      <c r="N703"/>
      <c r="O703"/>
      <c r="P703"/>
      <c r="Q703"/>
      <c r="R703"/>
      <c r="S703"/>
      <c r="T703"/>
      <c r="U703"/>
      <c r="V703"/>
      <c r="W703"/>
      <c r="X703"/>
      <c r="Y703"/>
      <c r="Z703"/>
      <c r="AA703"/>
      <c r="AB703"/>
      <c r="AC703"/>
      <c r="AD703"/>
      <c r="AE703"/>
      <c r="AF703"/>
      <c r="AG703"/>
      <c r="AH703"/>
      <c r="AI703"/>
    </row>
    <row r="704" spans="1:35" s="33" customFormat="1" ht="15.75">
      <c r="A704" s="175"/>
      <c r="B704" s="163"/>
      <c r="C704" s="123"/>
      <c r="D704" s="123"/>
      <c r="E704" s="32"/>
      <c r="F704"/>
      <c r="G704"/>
      <c r="H704"/>
      <c r="I704"/>
      <c r="J704"/>
      <c r="K704"/>
      <c r="L704"/>
      <c r="M704"/>
      <c r="N704"/>
      <c r="O704"/>
      <c r="P704"/>
      <c r="Q704"/>
      <c r="R704"/>
      <c r="S704"/>
      <c r="T704"/>
      <c r="U704"/>
      <c r="V704"/>
      <c r="W704"/>
      <c r="X704"/>
      <c r="Y704"/>
      <c r="Z704"/>
      <c r="AA704"/>
      <c r="AB704"/>
      <c r="AC704"/>
      <c r="AD704"/>
      <c r="AE704"/>
      <c r="AF704"/>
      <c r="AG704"/>
      <c r="AH704"/>
      <c r="AI704"/>
    </row>
    <row r="705" spans="1:35" s="33" customFormat="1" ht="15.75">
      <c r="A705" s="175"/>
      <c r="B705" s="163"/>
      <c r="C705" s="123"/>
      <c r="D705" s="123"/>
      <c r="E705" s="32"/>
      <c r="F705"/>
      <c r="G705"/>
      <c r="H705"/>
      <c r="I705"/>
      <c r="J705"/>
      <c r="K705"/>
      <c r="L705"/>
      <c r="M705"/>
      <c r="N705"/>
      <c r="O705"/>
      <c r="P705"/>
      <c r="Q705"/>
      <c r="R705"/>
      <c r="S705"/>
      <c r="T705"/>
      <c r="U705"/>
      <c r="V705"/>
      <c r="W705"/>
      <c r="X705"/>
      <c r="Y705"/>
      <c r="Z705"/>
      <c r="AA705"/>
      <c r="AB705"/>
      <c r="AC705"/>
      <c r="AD705"/>
      <c r="AE705"/>
      <c r="AF705"/>
      <c r="AG705"/>
      <c r="AH705"/>
      <c r="AI705"/>
    </row>
    <row r="706" spans="1:35" s="33" customFormat="1" ht="15.75">
      <c r="A706" s="175"/>
      <c r="B706" s="163"/>
      <c r="C706" s="123"/>
      <c r="D706" s="123"/>
      <c r="E706" s="32"/>
      <c r="F706"/>
      <c r="G706"/>
      <c r="H706"/>
      <c r="I706"/>
      <c r="J706"/>
      <c r="K706"/>
      <c r="L706"/>
      <c r="M706"/>
      <c r="N706"/>
      <c r="O706"/>
      <c r="P706"/>
      <c r="Q706"/>
      <c r="R706"/>
      <c r="S706"/>
      <c r="T706"/>
      <c r="U706"/>
      <c r="V706"/>
      <c r="W706"/>
      <c r="X706"/>
      <c r="Y706"/>
      <c r="Z706"/>
      <c r="AA706"/>
      <c r="AB706"/>
      <c r="AC706"/>
      <c r="AD706"/>
      <c r="AE706"/>
      <c r="AF706"/>
      <c r="AG706"/>
      <c r="AH706"/>
      <c r="AI706"/>
    </row>
    <row r="707" spans="1:35" s="33" customFormat="1" ht="15.75">
      <c r="A707" s="175"/>
      <c r="B707" s="163"/>
      <c r="C707" s="123"/>
      <c r="D707" s="123"/>
      <c r="E707" s="32"/>
      <c r="F707"/>
      <c r="G707"/>
      <c r="H707"/>
      <c r="I707"/>
      <c r="J707"/>
      <c r="K707"/>
      <c r="L707"/>
      <c r="M707"/>
      <c r="N707"/>
      <c r="O707"/>
      <c r="P707"/>
      <c r="Q707"/>
      <c r="R707"/>
      <c r="S707"/>
      <c r="T707"/>
      <c r="U707"/>
      <c r="V707"/>
      <c r="W707"/>
      <c r="X707"/>
      <c r="Y707"/>
      <c r="Z707"/>
      <c r="AA707"/>
      <c r="AB707"/>
      <c r="AC707"/>
      <c r="AD707"/>
      <c r="AE707"/>
      <c r="AF707"/>
      <c r="AG707"/>
      <c r="AH707"/>
      <c r="AI707"/>
    </row>
    <row r="708" spans="1:35" s="33" customFormat="1" ht="15.75">
      <c r="A708" s="175"/>
      <c r="B708" s="163"/>
      <c r="C708" s="123"/>
      <c r="D708" s="123"/>
      <c r="E708" s="32"/>
      <c r="F708"/>
      <c r="G708"/>
      <c r="H708"/>
      <c r="I708"/>
      <c r="J708"/>
      <c r="K708"/>
      <c r="L708"/>
      <c r="M708"/>
      <c r="N708"/>
      <c r="O708"/>
      <c r="P708"/>
      <c r="Q708"/>
      <c r="R708"/>
      <c r="S708"/>
      <c r="T708"/>
      <c r="U708"/>
      <c r="V708"/>
      <c r="W708"/>
      <c r="X708"/>
      <c r="Y708"/>
      <c r="Z708"/>
      <c r="AA708"/>
      <c r="AB708"/>
      <c r="AC708"/>
      <c r="AD708"/>
      <c r="AE708"/>
      <c r="AF708"/>
      <c r="AG708"/>
      <c r="AH708"/>
      <c r="AI708"/>
    </row>
    <row r="709" spans="1:35" s="33" customFormat="1" ht="15.75">
      <c r="A709" s="175"/>
      <c r="B709" s="163"/>
      <c r="C709" s="123"/>
      <c r="D709" s="123"/>
      <c r="E709" s="32"/>
      <c r="F709"/>
      <c r="G709"/>
      <c r="H709"/>
      <c r="I709"/>
      <c r="J709"/>
      <c r="K709"/>
      <c r="L709"/>
      <c r="M709"/>
      <c r="N709"/>
      <c r="O709"/>
      <c r="P709"/>
      <c r="Q709"/>
      <c r="R709"/>
      <c r="S709"/>
      <c r="T709"/>
      <c r="U709"/>
      <c r="V709"/>
      <c r="W709"/>
      <c r="X709"/>
      <c r="Y709"/>
      <c r="Z709"/>
      <c r="AA709"/>
      <c r="AB709"/>
      <c r="AC709"/>
      <c r="AD709"/>
      <c r="AE709"/>
      <c r="AF709"/>
      <c r="AG709"/>
      <c r="AH709"/>
      <c r="AI709"/>
    </row>
    <row r="710" spans="1:35" s="33" customFormat="1" ht="15.75">
      <c r="A710" s="175"/>
      <c r="B710" s="163"/>
      <c r="C710" s="123"/>
      <c r="D710" s="123"/>
      <c r="E710" s="32"/>
      <c r="F710"/>
      <c r="G710"/>
      <c r="H710"/>
      <c r="I710"/>
      <c r="J710"/>
      <c r="K710"/>
      <c r="L710"/>
      <c r="M710"/>
      <c r="N710"/>
      <c r="O710"/>
      <c r="P710"/>
      <c r="Q710"/>
      <c r="R710"/>
      <c r="S710"/>
      <c r="T710"/>
      <c r="U710"/>
      <c r="V710"/>
      <c r="W710"/>
      <c r="X710"/>
      <c r="Y710"/>
      <c r="Z710"/>
      <c r="AA710"/>
      <c r="AB710"/>
      <c r="AC710"/>
      <c r="AD710"/>
      <c r="AE710"/>
      <c r="AF710"/>
      <c r="AG710"/>
      <c r="AH710"/>
      <c r="AI710"/>
    </row>
    <row r="711" spans="1:35" s="33" customFormat="1" ht="15.75">
      <c r="A711" s="175"/>
      <c r="B711" s="163"/>
      <c r="C711" s="123"/>
      <c r="D711" s="123"/>
      <c r="E711" s="32"/>
      <c r="F711"/>
      <c r="G711"/>
      <c r="H711"/>
      <c r="I711"/>
      <c r="J711"/>
      <c r="K711"/>
      <c r="L711"/>
      <c r="M711"/>
      <c r="N711"/>
      <c r="O711"/>
      <c r="P711"/>
      <c r="Q711"/>
      <c r="R711"/>
      <c r="S711"/>
      <c r="T711"/>
      <c r="U711"/>
      <c r="V711"/>
      <c r="W711"/>
      <c r="X711"/>
      <c r="Y711"/>
      <c r="Z711"/>
      <c r="AA711"/>
      <c r="AB711"/>
      <c r="AC711"/>
      <c r="AD711"/>
      <c r="AE711"/>
      <c r="AF711"/>
      <c r="AG711"/>
      <c r="AH711"/>
      <c r="AI711"/>
    </row>
    <row r="712" spans="1:35" s="33" customFormat="1" ht="15.75">
      <c r="A712" s="175"/>
      <c r="B712" s="163"/>
      <c r="C712" s="123"/>
      <c r="D712" s="123"/>
      <c r="E712" s="32"/>
      <c r="F712"/>
      <c r="G712"/>
      <c r="H712"/>
      <c r="I712"/>
      <c r="J712"/>
      <c r="K712"/>
      <c r="L712"/>
      <c r="M712"/>
      <c r="N712"/>
      <c r="O712"/>
      <c r="P712"/>
      <c r="Q712"/>
      <c r="R712"/>
      <c r="S712"/>
      <c r="T712"/>
      <c r="U712"/>
      <c r="V712"/>
      <c r="W712"/>
      <c r="X712"/>
      <c r="Y712"/>
      <c r="Z712"/>
      <c r="AA712"/>
      <c r="AB712"/>
      <c r="AC712"/>
      <c r="AD712"/>
      <c r="AE712"/>
      <c r="AF712"/>
      <c r="AG712"/>
      <c r="AH712"/>
      <c r="AI712"/>
    </row>
    <row r="713" spans="1:35" s="33" customFormat="1" ht="15.75">
      <c r="A713" s="175"/>
      <c r="B713" s="163"/>
      <c r="C713" s="123"/>
      <c r="D713" s="123"/>
      <c r="E713" s="32"/>
      <c r="F713"/>
      <c r="G713"/>
      <c r="H713"/>
      <c r="I713"/>
      <c r="J713"/>
      <c r="K713"/>
      <c r="L713"/>
      <c r="M713"/>
      <c r="N713"/>
      <c r="O713"/>
      <c r="P713"/>
      <c r="Q713"/>
      <c r="R713"/>
      <c r="S713"/>
      <c r="T713"/>
      <c r="U713"/>
      <c r="V713"/>
      <c r="W713"/>
      <c r="X713"/>
      <c r="Y713"/>
      <c r="Z713"/>
      <c r="AA713"/>
      <c r="AB713"/>
      <c r="AC713"/>
      <c r="AD713"/>
      <c r="AE713"/>
      <c r="AF713"/>
      <c r="AG713"/>
      <c r="AH713"/>
      <c r="AI713"/>
    </row>
    <row r="714" spans="1:35" s="33" customFormat="1" ht="15.75">
      <c r="A714" s="175"/>
      <c r="B714" s="163"/>
      <c r="C714" s="123"/>
      <c r="D714" s="123"/>
      <c r="E714" s="32"/>
      <c r="F714"/>
      <c r="G714"/>
      <c r="H714"/>
      <c r="I714"/>
      <c r="J714"/>
      <c r="K714"/>
      <c r="L714"/>
      <c r="M714"/>
      <c r="N714"/>
      <c r="O714"/>
      <c r="P714"/>
      <c r="Q714"/>
      <c r="R714"/>
      <c r="S714"/>
      <c r="T714"/>
      <c r="U714"/>
      <c r="V714"/>
      <c r="W714"/>
      <c r="X714"/>
      <c r="Y714"/>
      <c r="Z714"/>
      <c r="AA714"/>
      <c r="AB714"/>
      <c r="AC714"/>
      <c r="AD714"/>
      <c r="AE714"/>
      <c r="AF714"/>
      <c r="AG714"/>
      <c r="AH714"/>
      <c r="AI714"/>
    </row>
    <row r="715" spans="1:35" s="33" customFormat="1" ht="15.75">
      <c r="A715" s="175"/>
      <c r="B715" s="163"/>
      <c r="C715" s="123"/>
      <c r="D715" s="123"/>
      <c r="E715" s="32"/>
      <c r="F715"/>
      <c r="G715"/>
      <c r="H715"/>
      <c r="I715"/>
      <c r="J715"/>
      <c r="K715"/>
      <c r="L715"/>
      <c r="M715"/>
      <c r="N715"/>
      <c r="O715"/>
      <c r="P715"/>
      <c r="Q715"/>
      <c r="R715"/>
      <c r="S715"/>
      <c r="T715"/>
      <c r="U715"/>
      <c r="V715"/>
      <c r="W715"/>
      <c r="X715"/>
      <c r="Y715"/>
      <c r="Z715"/>
      <c r="AA715"/>
      <c r="AB715"/>
      <c r="AC715"/>
      <c r="AD715"/>
      <c r="AE715"/>
      <c r="AF715"/>
      <c r="AG715"/>
      <c r="AH715"/>
      <c r="AI715"/>
    </row>
    <row r="716" spans="1:35" s="33" customFormat="1" ht="15.75">
      <c r="A716" s="175"/>
      <c r="B716" s="163"/>
      <c r="C716" s="123"/>
      <c r="D716" s="123"/>
      <c r="E716" s="32"/>
      <c r="F716"/>
      <c r="G716"/>
      <c r="H716"/>
      <c r="I716"/>
      <c r="J716"/>
      <c r="K716"/>
      <c r="L716"/>
      <c r="M716"/>
      <c r="N716"/>
      <c r="O716"/>
      <c r="P716"/>
      <c r="Q716"/>
      <c r="R716"/>
      <c r="S716"/>
      <c r="T716"/>
      <c r="U716"/>
      <c r="V716"/>
      <c r="W716"/>
      <c r="X716"/>
      <c r="Y716"/>
      <c r="Z716"/>
      <c r="AA716"/>
      <c r="AB716"/>
      <c r="AC716"/>
      <c r="AD716"/>
      <c r="AE716"/>
      <c r="AF716"/>
      <c r="AG716"/>
      <c r="AH716"/>
      <c r="AI716"/>
    </row>
    <row r="717" spans="1:35" s="33" customFormat="1" ht="15.75">
      <c r="A717" s="175"/>
      <c r="B717" s="163"/>
      <c r="C717" s="123"/>
      <c r="D717" s="123"/>
      <c r="E717" s="32"/>
      <c r="F717"/>
      <c r="G717"/>
      <c r="H717"/>
      <c r="I717"/>
      <c r="J717"/>
      <c r="K717"/>
      <c r="L717"/>
      <c r="M717"/>
      <c r="N717"/>
      <c r="O717"/>
      <c r="P717"/>
      <c r="Q717"/>
      <c r="R717"/>
      <c r="S717"/>
      <c r="T717"/>
      <c r="U717"/>
      <c r="V717"/>
      <c r="W717"/>
      <c r="X717"/>
      <c r="Y717"/>
      <c r="Z717"/>
      <c r="AA717"/>
      <c r="AB717"/>
      <c r="AC717"/>
      <c r="AD717"/>
      <c r="AE717"/>
      <c r="AF717"/>
      <c r="AG717"/>
      <c r="AH717"/>
      <c r="AI717"/>
    </row>
    <row r="718" spans="1:35" s="33" customFormat="1" ht="15.75">
      <c r="A718" s="175"/>
      <c r="B718" s="163"/>
      <c r="C718" s="123"/>
      <c r="D718" s="123"/>
      <c r="E718" s="32"/>
      <c r="F718"/>
      <c r="G718"/>
      <c r="H718"/>
      <c r="I718"/>
      <c r="J718"/>
      <c r="K718"/>
      <c r="L718"/>
      <c r="M718"/>
      <c r="N718"/>
      <c r="O718"/>
      <c r="P718"/>
      <c r="Q718"/>
      <c r="R718"/>
      <c r="S718"/>
      <c r="T718"/>
      <c r="U718"/>
      <c r="V718"/>
      <c r="W718"/>
      <c r="X718"/>
      <c r="Y718"/>
      <c r="Z718"/>
      <c r="AA718"/>
      <c r="AB718"/>
      <c r="AC718"/>
      <c r="AD718"/>
      <c r="AE718"/>
      <c r="AF718"/>
      <c r="AG718"/>
      <c r="AH718"/>
      <c r="AI718"/>
    </row>
    <row r="719" spans="1:35" s="33" customFormat="1" ht="15.75">
      <c r="A719" s="175"/>
      <c r="B719" s="163"/>
      <c r="C719" s="123"/>
      <c r="D719" s="123"/>
      <c r="E719" s="32"/>
      <c r="F719"/>
      <c r="G719"/>
      <c r="H719"/>
      <c r="I719"/>
      <c r="J719"/>
      <c r="K719"/>
      <c r="L719"/>
      <c r="M719"/>
      <c r="N719"/>
      <c r="O719"/>
      <c r="P719"/>
      <c r="Q719"/>
      <c r="R719"/>
      <c r="S719"/>
      <c r="T719"/>
      <c r="U719"/>
      <c r="V719"/>
      <c r="W719"/>
      <c r="X719"/>
      <c r="Y719"/>
      <c r="Z719"/>
      <c r="AA719"/>
      <c r="AB719"/>
      <c r="AC719"/>
      <c r="AD719"/>
      <c r="AE719"/>
      <c r="AF719"/>
      <c r="AG719"/>
      <c r="AH719"/>
      <c r="AI719"/>
    </row>
    <row r="720" spans="1:35" s="33" customFormat="1" ht="15.75">
      <c r="A720" s="175"/>
      <c r="B720" s="163"/>
      <c r="C720" s="123"/>
      <c r="D720" s="123"/>
      <c r="E720" s="32"/>
      <c r="F720"/>
      <c r="G720"/>
      <c r="H720"/>
      <c r="I720"/>
      <c r="J720"/>
      <c r="K720"/>
      <c r="L720"/>
      <c r="M720"/>
      <c r="N720"/>
      <c r="O720"/>
      <c r="P720"/>
      <c r="Q720"/>
      <c r="R720"/>
      <c r="S720"/>
      <c r="T720"/>
      <c r="U720"/>
      <c r="V720"/>
      <c r="W720"/>
      <c r="X720"/>
      <c r="Y720"/>
      <c r="Z720"/>
      <c r="AA720"/>
      <c r="AB720"/>
      <c r="AC720"/>
      <c r="AD720"/>
      <c r="AE720"/>
      <c r="AF720"/>
      <c r="AG720"/>
      <c r="AH720"/>
      <c r="AI720"/>
    </row>
    <row r="721" spans="1:35" s="33" customFormat="1" ht="15.75">
      <c r="A721" s="175"/>
      <c r="B721" s="163"/>
      <c r="C721" s="123"/>
      <c r="D721" s="123"/>
      <c r="E721" s="32"/>
      <c r="F721"/>
      <c r="G721"/>
      <c r="H721"/>
      <c r="I721"/>
      <c r="J721"/>
      <c r="K721"/>
      <c r="L721"/>
      <c r="M721"/>
      <c r="N721"/>
      <c r="O721"/>
      <c r="P721"/>
      <c r="Q721"/>
      <c r="R721"/>
      <c r="S721"/>
      <c r="T721"/>
      <c r="U721"/>
      <c r="V721"/>
      <c r="W721"/>
      <c r="X721"/>
      <c r="Y721"/>
      <c r="Z721"/>
      <c r="AA721"/>
      <c r="AB721"/>
      <c r="AC721"/>
      <c r="AD721"/>
      <c r="AE721"/>
      <c r="AF721"/>
      <c r="AG721"/>
      <c r="AH721"/>
      <c r="AI721"/>
    </row>
    <row r="722" spans="1:35" s="33" customFormat="1" ht="15.75">
      <c r="A722" s="175"/>
      <c r="B722" s="163"/>
      <c r="C722" s="123"/>
      <c r="D722" s="123"/>
      <c r="E722" s="32"/>
      <c r="F722"/>
      <c r="G722"/>
      <c r="H722"/>
      <c r="I722"/>
      <c r="J722"/>
      <c r="K722"/>
      <c r="L722"/>
      <c r="M722"/>
      <c r="N722"/>
      <c r="O722"/>
      <c r="P722"/>
      <c r="Q722"/>
      <c r="R722"/>
      <c r="S722"/>
      <c r="T722"/>
      <c r="U722"/>
      <c r="V722"/>
      <c r="W722"/>
      <c r="X722"/>
      <c r="Y722"/>
      <c r="Z722"/>
      <c r="AA722"/>
      <c r="AB722"/>
      <c r="AC722"/>
      <c r="AD722"/>
      <c r="AE722"/>
      <c r="AF722"/>
      <c r="AG722"/>
      <c r="AH722"/>
      <c r="AI722"/>
    </row>
    <row r="723" spans="1:35" s="33" customFormat="1" ht="15.75">
      <c r="A723" s="175"/>
      <c r="B723" s="163"/>
      <c r="C723" s="123"/>
      <c r="D723" s="123"/>
      <c r="E723" s="32"/>
      <c r="F723"/>
      <c r="G723"/>
      <c r="H723"/>
      <c r="I723"/>
      <c r="J723"/>
      <c r="K723"/>
      <c r="L723"/>
      <c r="M723"/>
      <c r="N723"/>
      <c r="O723"/>
      <c r="P723"/>
      <c r="Q723"/>
      <c r="R723"/>
      <c r="S723"/>
      <c r="T723"/>
      <c r="U723"/>
      <c r="V723"/>
      <c r="W723"/>
      <c r="X723"/>
      <c r="Y723"/>
      <c r="Z723"/>
      <c r="AA723"/>
      <c r="AB723"/>
      <c r="AC723"/>
      <c r="AD723"/>
      <c r="AE723"/>
      <c r="AF723"/>
      <c r="AG723"/>
      <c r="AH723"/>
      <c r="AI723"/>
    </row>
    <row r="724" spans="1:35" s="33" customFormat="1" ht="15.75">
      <c r="A724" s="175"/>
      <c r="B724" s="163"/>
      <c r="C724" s="123"/>
      <c r="D724" s="123"/>
      <c r="E724" s="32"/>
      <c r="F724"/>
      <c r="G724"/>
      <c r="H724"/>
      <c r="I724"/>
      <c r="J724"/>
      <c r="K724"/>
      <c r="L724"/>
      <c r="M724"/>
      <c r="N724"/>
      <c r="O724"/>
      <c r="P724"/>
      <c r="Q724"/>
      <c r="R724"/>
      <c r="S724"/>
      <c r="T724"/>
      <c r="U724"/>
      <c r="V724"/>
      <c r="W724"/>
      <c r="X724"/>
      <c r="Y724"/>
      <c r="Z724"/>
      <c r="AA724"/>
      <c r="AB724"/>
      <c r="AC724"/>
      <c r="AD724"/>
      <c r="AE724"/>
      <c r="AF724"/>
      <c r="AG724"/>
      <c r="AH724"/>
      <c r="AI724"/>
    </row>
    <row r="725" spans="1:35" s="33" customFormat="1" ht="15.75">
      <c r="A725" s="175"/>
      <c r="B725" s="163"/>
      <c r="C725" s="123"/>
      <c r="D725" s="123"/>
      <c r="E725" s="32"/>
      <c r="F725"/>
      <c r="G725"/>
      <c r="H725"/>
      <c r="I725"/>
      <c r="J725"/>
      <c r="K725"/>
      <c r="L725"/>
      <c r="M725"/>
      <c r="N725"/>
      <c r="O725"/>
      <c r="P725"/>
      <c r="Q725"/>
      <c r="R725"/>
      <c r="S725"/>
      <c r="T725"/>
      <c r="U725"/>
      <c r="V725"/>
      <c r="W725"/>
      <c r="X725"/>
      <c r="Y725"/>
      <c r="Z725"/>
      <c r="AA725"/>
      <c r="AB725"/>
      <c r="AC725"/>
      <c r="AD725"/>
      <c r="AE725"/>
      <c r="AF725"/>
      <c r="AG725"/>
      <c r="AH725"/>
      <c r="AI725"/>
    </row>
    <row r="726" spans="1:35" s="33" customFormat="1" ht="15.75">
      <c r="A726" s="175"/>
      <c r="B726" s="163"/>
      <c r="C726" s="123"/>
      <c r="D726" s="123"/>
      <c r="E726" s="32"/>
      <c r="F726"/>
      <c r="G726"/>
      <c r="H726"/>
      <c r="I726"/>
      <c r="J726"/>
      <c r="K726"/>
      <c r="L726"/>
      <c r="M726"/>
      <c r="N726"/>
      <c r="O726"/>
      <c r="P726"/>
      <c r="Q726"/>
      <c r="R726"/>
      <c r="S726"/>
      <c r="T726"/>
      <c r="U726"/>
      <c r="V726"/>
      <c r="W726"/>
      <c r="X726"/>
      <c r="Y726"/>
      <c r="Z726"/>
      <c r="AA726"/>
      <c r="AB726"/>
      <c r="AC726"/>
      <c r="AD726"/>
      <c r="AE726"/>
      <c r="AF726"/>
      <c r="AG726"/>
      <c r="AH726"/>
      <c r="AI726"/>
    </row>
    <row r="727" spans="1:35" s="33" customFormat="1" ht="15.75">
      <c r="A727" s="175"/>
      <c r="B727" s="163"/>
      <c r="C727" s="123"/>
      <c r="D727" s="123"/>
      <c r="E727" s="32"/>
      <c r="F727"/>
      <c r="G727"/>
      <c r="H727"/>
      <c r="I727"/>
      <c r="J727"/>
      <c r="K727"/>
      <c r="L727"/>
      <c r="M727"/>
      <c r="N727"/>
      <c r="O727"/>
      <c r="P727"/>
      <c r="Q727"/>
      <c r="R727"/>
      <c r="S727"/>
      <c r="T727"/>
      <c r="U727"/>
      <c r="V727"/>
      <c r="W727"/>
      <c r="X727"/>
      <c r="Y727"/>
      <c r="Z727"/>
      <c r="AA727"/>
      <c r="AB727"/>
      <c r="AC727"/>
      <c r="AD727"/>
      <c r="AE727"/>
      <c r="AF727"/>
      <c r="AG727"/>
      <c r="AH727"/>
      <c r="AI727"/>
    </row>
    <row r="728" spans="1:35" s="33" customFormat="1" ht="15.75">
      <c r="A728" s="175"/>
      <c r="B728" s="163"/>
      <c r="C728" s="123"/>
      <c r="D728" s="123"/>
      <c r="E728" s="32"/>
      <c r="F728"/>
      <c r="G728"/>
      <c r="H728"/>
      <c r="I728"/>
      <c r="J728"/>
      <c r="K728"/>
      <c r="L728"/>
      <c r="M728"/>
      <c r="N728"/>
      <c r="O728"/>
      <c r="P728"/>
      <c r="Q728"/>
      <c r="R728"/>
      <c r="S728"/>
      <c r="T728"/>
      <c r="U728"/>
      <c r="V728"/>
      <c r="W728"/>
      <c r="X728"/>
      <c r="Y728"/>
      <c r="Z728"/>
      <c r="AA728"/>
      <c r="AB728"/>
      <c r="AC728"/>
      <c r="AD728"/>
      <c r="AE728"/>
      <c r="AF728"/>
      <c r="AG728"/>
      <c r="AH728"/>
      <c r="AI728"/>
    </row>
    <row r="729" spans="1:35" s="33" customFormat="1" ht="15.75">
      <c r="A729" s="175"/>
      <c r="B729" s="163"/>
      <c r="C729" s="123"/>
      <c r="D729" s="123"/>
      <c r="E729" s="32"/>
      <c r="F729"/>
      <c r="G729"/>
      <c r="H729"/>
      <c r="I729"/>
      <c r="J729"/>
      <c r="K729"/>
      <c r="L729"/>
      <c r="M729"/>
      <c r="N729"/>
      <c r="O729"/>
      <c r="P729"/>
      <c r="Q729"/>
      <c r="R729"/>
      <c r="S729"/>
      <c r="T729"/>
      <c r="U729"/>
      <c r="V729"/>
      <c r="W729"/>
      <c r="X729"/>
      <c r="Y729"/>
      <c r="Z729"/>
      <c r="AA729"/>
      <c r="AB729"/>
      <c r="AC729"/>
      <c r="AD729"/>
      <c r="AE729"/>
      <c r="AF729"/>
      <c r="AG729"/>
      <c r="AH729"/>
      <c r="AI729"/>
    </row>
    <row r="730" spans="1:35" s="33" customFormat="1" ht="15.75">
      <c r="A730" s="175"/>
      <c r="B730" s="163"/>
      <c r="C730" s="123"/>
      <c r="D730" s="123"/>
      <c r="E730" s="32"/>
      <c r="F730"/>
      <c r="G730"/>
      <c r="H730"/>
      <c r="I730"/>
      <c r="J730"/>
      <c r="K730"/>
      <c r="L730"/>
      <c r="M730"/>
      <c r="N730"/>
      <c r="O730"/>
      <c r="P730"/>
      <c r="Q730"/>
      <c r="R730"/>
      <c r="S730"/>
      <c r="T730"/>
      <c r="U730"/>
      <c r="V730"/>
      <c r="W730"/>
      <c r="X730"/>
      <c r="Y730"/>
      <c r="Z730"/>
      <c r="AA730"/>
      <c r="AB730"/>
      <c r="AC730"/>
      <c r="AD730"/>
      <c r="AE730"/>
      <c r="AF730"/>
      <c r="AG730"/>
      <c r="AH730"/>
      <c r="AI730"/>
    </row>
    <row r="731" spans="1:35" s="33" customFormat="1" ht="15.75">
      <c r="A731" s="175"/>
      <c r="B731" s="163"/>
      <c r="C731" s="123"/>
      <c r="D731" s="123"/>
      <c r="E731" s="32"/>
      <c r="F731"/>
      <c r="G731"/>
      <c r="H731"/>
      <c r="I731"/>
      <c r="J731"/>
      <c r="K731"/>
      <c r="L731"/>
      <c r="M731"/>
      <c r="N731"/>
      <c r="O731"/>
      <c r="P731"/>
      <c r="Q731"/>
      <c r="R731"/>
      <c r="S731"/>
      <c r="T731"/>
      <c r="U731"/>
      <c r="V731"/>
      <c r="W731"/>
      <c r="X731"/>
      <c r="Y731"/>
      <c r="Z731"/>
      <c r="AA731"/>
      <c r="AB731"/>
      <c r="AC731"/>
      <c r="AD731"/>
      <c r="AE731"/>
      <c r="AF731"/>
      <c r="AG731"/>
      <c r="AH731"/>
      <c r="AI731"/>
    </row>
    <row r="732" spans="1:35" s="33" customFormat="1" ht="15.75">
      <c r="A732" s="175"/>
      <c r="B732" s="163"/>
      <c r="C732" s="123"/>
      <c r="D732" s="123"/>
      <c r="E732" s="32"/>
      <c r="F732"/>
      <c r="G732"/>
      <c r="H732"/>
      <c r="I732"/>
      <c r="J732"/>
      <c r="K732"/>
      <c r="L732"/>
      <c r="M732"/>
      <c r="N732"/>
      <c r="O732"/>
      <c r="P732"/>
      <c r="Q732"/>
      <c r="R732"/>
      <c r="S732"/>
      <c r="T732"/>
      <c r="U732"/>
      <c r="V732"/>
      <c r="W732"/>
      <c r="X732"/>
      <c r="Y732"/>
      <c r="Z732"/>
      <c r="AA732"/>
      <c r="AB732"/>
      <c r="AC732"/>
      <c r="AD732"/>
      <c r="AE732"/>
      <c r="AF732"/>
      <c r="AG732"/>
      <c r="AH732"/>
      <c r="AI732"/>
    </row>
    <row r="733" spans="1:35" s="33" customFormat="1" ht="15.75">
      <c r="A733" s="175"/>
      <c r="B733" s="163"/>
      <c r="C733" s="123"/>
      <c r="D733" s="123"/>
      <c r="E733" s="32"/>
      <c r="F733"/>
      <c r="G733"/>
      <c r="H733"/>
      <c r="I733"/>
      <c r="J733"/>
      <c r="K733"/>
      <c r="L733"/>
      <c r="M733"/>
      <c r="N733"/>
      <c r="O733"/>
      <c r="P733"/>
      <c r="Q733"/>
      <c r="R733"/>
      <c r="S733"/>
      <c r="T733"/>
      <c r="U733"/>
      <c r="V733"/>
      <c r="W733"/>
      <c r="X733"/>
      <c r="Y733"/>
      <c r="Z733"/>
      <c r="AA733"/>
      <c r="AB733"/>
      <c r="AC733"/>
      <c r="AD733"/>
      <c r="AE733"/>
      <c r="AF733"/>
      <c r="AG733"/>
      <c r="AH733"/>
      <c r="AI733"/>
    </row>
    <row r="734" spans="1:35" s="33" customFormat="1" ht="15.75">
      <c r="A734" s="175"/>
      <c r="B734" s="163"/>
      <c r="C734" s="123"/>
      <c r="D734" s="123"/>
      <c r="E734" s="32"/>
      <c r="F734"/>
      <c r="G734"/>
      <c r="H734"/>
      <c r="I734"/>
      <c r="J734"/>
      <c r="K734"/>
      <c r="L734"/>
      <c r="M734"/>
      <c r="N734"/>
      <c r="O734"/>
      <c r="P734"/>
      <c r="Q734"/>
      <c r="R734"/>
      <c r="S734"/>
      <c r="T734"/>
      <c r="U734"/>
      <c r="V734"/>
      <c r="W734"/>
      <c r="X734"/>
      <c r="Y734"/>
      <c r="Z734"/>
      <c r="AA734"/>
      <c r="AB734"/>
      <c r="AC734"/>
      <c r="AD734"/>
      <c r="AE734"/>
      <c r="AF734"/>
      <c r="AG734"/>
      <c r="AH734"/>
      <c r="AI734"/>
    </row>
    <row r="735" spans="1:35" s="33" customFormat="1" ht="15.75">
      <c r="A735" s="175"/>
      <c r="B735" s="163"/>
      <c r="C735" s="123"/>
      <c r="D735" s="123"/>
      <c r="E735" s="32"/>
      <c r="F735"/>
      <c r="G735"/>
      <c r="H735"/>
      <c r="I735"/>
      <c r="J735"/>
      <c r="K735"/>
      <c r="L735"/>
      <c r="M735"/>
      <c r="N735"/>
      <c r="O735"/>
      <c r="P735"/>
      <c r="Q735"/>
      <c r="R735"/>
      <c r="S735"/>
      <c r="T735"/>
      <c r="U735"/>
      <c r="V735"/>
      <c r="W735"/>
      <c r="X735"/>
      <c r="Y735"/>
      <c r="Z735"/>
      <c r="AA735"/>
      <c r="AB735"/>
      <c r="AC735"/>
      <c r="AD735"/>
      <c r="AE735"/>
      <c r="AF735"/>
      <c r="AG735"/>
      <c r="AH735"/>
      <c r="AI735"/>
    </row>
    <row r="736" spans="1:35" s="33" customFormat="1" ht="15.75">
      <c r="A736" s="175"/>
      <c r="B736" s="163"/>
      <c r="C736" s="123"/>
      <c r="D736" s="123"/>
      <c r="E736" s="32"/>
      <c r="F736"/>
      <c r="G736"/>
      <c r="H736"/>
      <c r="I736"/>
      <c r="J736"/>
      <c r="K736"/>
      <c r="L736"/>
      <c r="M736"/>
      <c r="N736"/>
      <c r="O736"/>
      <c r="P736"/>
      <c r="Q736"/>
      <c r="R736"/>
      <c r="S736"/>
      <c r="T736"/>
      <c r="U736"/>
      <c r="V736"/>
      <c r="W736"/>
      <c r="X736"/>
      <c r="Y736"/>
      <c r="Z736"/>
      <c r="AA736"/>
      <c r="AB736"/>
      <c r="AC736"/>
      <c r="AD736"/>
      <c r="AE736"/>
      <c r="AF736"/>
      <c r="AG736"/>
      <c r="AH736"/>
      <c r="AI736"/>
    </row>
    <row r="737" spans="1:35" s="33" customFormat="1" ht="15.75">
      <c r="A737" s="175"/>
      <c r="B737" s="163"/>
      <c r="C737" s="123"/>
      <c r="D737" s="123"/>
      <c r="E737" s="32"/>
      <c r="F737"/>
      <c r="G737"/>
      <c r="H737"/>
      <c r="I737"/>
      <c r="J737"/>
      <c r="K737"/>
      <c r="L737"/>
      <c r="M737"/>
      <c r="N737"/>
      <c r="O737"/>
      <c r="P737"/>
      <c r="Q737"/>
      <c r="R737"/>
      <c r="S737"/>
      <c r="T737"/>
      <c r="U737"/>
      <c r="V737"/>
      <c r="W737"/>
      <c r="X737"/>
      <c r="Y737"/>
      <c r="Z737"/>
      <c r="AA737"/>
      <c r="AB737"/>
      <c r="AC737"/>
      <c r="AD737"/>
      <c r="AE737"/>
      <c r="AF737"/>
      <c r="AG737"/>
      <c r="AH737"/>
      <c r="AI737"/>
    </row>
    <row r="738" spans="1:35" s="33" customFormat="1" ht="15.75">
      <c r="A738" s="175"/>
      <c r="B738" s="163"/>
      <c r="C738" s="123"/>
      <c r="D738" s="123"/>
      <c r="E738" s="32"/>
      <c r="F738"/>
      <c r="G738"/>
      <c r="H738"/>
      <c r="I738"/>
      <c r="J738"/>
      <c r="K738"/>
      <c r="L738"/>
      <c r="M738"/>
      <c r="N738"/>
      <c r="O738"/>
      <c r="P738"/>
      <c r="Q738"/>
      <c r="R738"/>
      <c r="S738"/>
      <c r="T738"/>
      <c r="U738"/>
      <c r="V738"/>
      <c r="W738"/>
      <c r="X738"/>
      <c r="Y738"/>
      <c r="Z738"/>
      <c r="AA738"/>
      <c r="AB738"/>
      <c r="AC738"/>
      <c r="AD738"/>
      <c r="AE738"/>
      <c r="AF738"/>
      <c r="AG738"/>
      <c r="AH738"/>
      <c r="AI738"/>
    </row>
    <row r="739" spans="1:35" s="33" customFormat="1" ht="15.75">
      <c r="A739" s="175"/>
      <c r="B739" s="163"/>
      <c r="C739" s="123"/>
      <c r="D739" s="123"/>
      <c r="E739" s="32"/>
      <c r="F739"/>
      <c r="G739"/>
      <c r="H739"/>
      <c r="I739"/>
      <c r="J739"/>
      <c r="K739"/>
      <c r="L739"/>
      <c r="M739"/>
      <c r="N739"/>
      <c r="O739"/>
      <c r="P739"/>
      <c r="Q739"/>
      <c r="R739"/>
      <c r="S739"/>
      <c r="T739"/>
      <c r="U739"/>
      <c r="V739"/>
      <c r="W739"/>
      <c r="X739"/>
      <c r="Y739"/>
      <c r="Z739"/>
      <c r="AA739"/>
      <c r="AB739"/>
      <c r="AC739"/>
      <c r="AD739"/>
      <c r="AE739"/>
      <c r="AF739"/>
      <c r="AG739"/>
      <c r="AH739"/>
      <c r="AI739"/>
    </row>
    <row r="740" spans="1:35" s="33" customFormat="1" ht="15.75">
      <c r="A740" s="175"/>
      <c r="B740" s="163"/>
      <c r="C740" s="123"/>
      <c r="D740" s="123"/>
      <c r="E740" s="32"/>
      <c r="F740"/>
      <c r="G740"/>
      <c r="H740"/>
      <c r="I740"/>
      <c r="J740"/>
      <c r="K740"/>
      <c r="L740"/>
      <c r="M740"/>
      <c r="N740"/>
      <c r="O740"/>
      <c r="P740"/>
      <c r="Q740"/>
      <c r="R740"/>
      <c r="S740"/>
      <c r="T740"/>
      <c r="U740"/>
      <c r="V740"/>
      <c r="W740"/>
      <c r="X740"/>
      <c r="Y740"/>
      <c r="Z740"/>
      <c r="AA740"/>
      <c r="AB740"/>
      <c r="AC740"/>
      <c r="AD740"/>
      <c r="AE740"/>
      <c r="AF740"/>
      <c r="AG740"/>
      <c r="AH740"/>
      <c r="AI740"/>
    </row>
    <row r="741" spans="1:35" s="33" customFormat="1" ht="15.75">
      <c r="A741" s="175"/>
      <c r="B741" s="163"/>
      <c r="C741" s="123"/>
      <c r="D741" s="123"/>
      <c r="E741" s="32"/>
      <c r="F741"/>
      <c r="G741"/>
      <c r="H741"/>
      <c r="I741"/>
      <c r="J741"/>
      <c r="K741"/>
      <c r="L741"/>
      <c r="M741"/>
      <c r="N741"/>
      <c r="O741"/>
      <c r="P741"/>
      <c r="Q741"/>
      <c r="R741"/>
      <c r="S741"/>
      <c r="T741"/>
      <c r="U741"/>
      <c r="V741"/>
      <c r="W741"/>
      <c r="X741"/>
      <c r="Y741"/>
      <c r="Z741"/>
      <c r="AA741"/>
      <c r="AB741"/>
      <c r="AC741"/>
      <c r="AD741"/>
      <c r="AE741"/>
      <c r="AF741"/>
      <c r="AG741"/>
      <c r="AH741"/>
      <c r="AI741"/>
    </row>
    <row r="742" spans="1:35" s="33" customFormat="1" ht="15.75">
      <c r="A742" s="175"/>
      <c r="B742" s="163"/>
      <c r="C742" s="123"/>
      <c r="D742" s="123"/>
      <c r="E742" s="32"/>
      <c r="F742"/>
      <c r="G742"/>
      <c r="H742"/>
      <c r="I742"/>
      <c r="J742"/>
      <c r="K742"/>
      <c r="L742"/>
      <c r="M742"/>
      <c r="N742"/>
      <c r="O742"/>
      <c r="P742"/>
      <c r="Q742"/>
      <c r="R742"/>
      <c r="S742"/>
      <c r="T742"/>
      <c r="U742"/>
      <c r="V742"/>
      <c r="W742"/>
      <c r="X742"/>
      <c r="Y742"/>
      <c r="Z742"/>
      <c r="AA742"/>
      <c r="AB742"/>
      <c r="AC742"/>
      <c r="AD742"/>
      <c r="AE742"/>
      <c r="AF742"/>
      <c r="AG742"/>
      <c r="AH742"/>
      <c r="AI742"/>
    </row>
    <row r="743" spans="1:35" s="33" customFormat="1" ht="15.75">
      <c r="A743" s="175"/>
      <c r="B743" s="163"/>
      <c r="C743" s="123"/>
      <c r="D743" s="123"/>
      <c r="E743" s="32"/>
      <c r="F743"/>
      <c r="G743"/>
      <c r="H743"/>
      <c r="I743"/>
      <c r="J743"/>
      <c r="K743"/>
      <c r="L743"/>
      <c r="M743"/>
      <c r="N743"/>
      <c r="O743"/>
      <c r="P743"/>
      <c r="Q743"/>
      <c r="R743"/>
      <c r="S743"/>
      <c r="T743"/>
      <c r="U743"/>
      <c r="V743"/>
      <c r="W743"/>
      <c r="X743"/>
      <c r="Y743"/>
      <c r="Z743"/>
      <c r="AA743"/>
      <c r="AB743"/>
      <c r="AC743"/>
      <c r="AD743"/>
      <c r="AE743"/>
      <c r="AF743"/>
      <c r="AG743"/>
      <c r="AH743"/>
      <c r="AI743"/>
    </row>
    <row r="744" spans="1:35" s="33" customFormat="1" ht="15.75">
      <c r="A744" s="175"/>
      <c r="B744" s="163"/>
      <c r="C744" s="123"/>
      <c r="D744" s="123"/>
      <c r="E744" s="32"/>
      <c r="F744"/>
      <c r="G744"/>
      <c r="H744"/>
      <c r="I744"/>
      <c r="J744"/>
      <c r="K744"/>
      <c r="L744"/>
      <c r="M744"/>
      <c r="N744"/>
      <c r="O744"/>
      <c r="P744"/>
      <c r="Q744"/>
      <c r="R744"/>
      <c r="S744"/>
      <c r="T744"/>
      <c r="U744"/>
      <c r="V744"/>
      <c r="W744"/>
      <c r="X744"/>
      <c r="Y744"/>
      <c r="Z744"/>
      <c r="AA744"/>
      <c r="AB744"/>
      <c r="AC744"/>
      <c r="AD744"/>
      <c r="AE744"/>
      <c r="AF744"/>
      <c r="AG744"/>
      <c r="AH744"/>
      <c r="AI744"/>
    </row>
    <row r="745" spans="1:35" s="33" customFormat="1" ht="15.75">
      <c r="A745" s="175"/>
      <c r="B745" s="163"/>
      <c r="C745" s="123"/>
      <c r="D745" s="123"/>
      <c r="E745" s="32"/>
      <c r="F745"/>
      <c r="G745"/>
      <c r="H745"/>
      <c r="I745"/>
      <c r="J745"/>
      <c r="K745"/>
      <c r="L745"/>
      <c r="M745"/>
      <c r="N745"/>
      <c r="O745"/>
      <c r="P745"/>
      <c r="Q745"/>
      <c r="R745"/>
      <c r="S745"/>
      <c r="T745"/>
      <c r="U745"/>
      <c r="V745"/>
      <c r="W745"/>
      <c r="X745"/>
      <c r="Y745"/>
      <c r="Z745"/>
      <c r="AA745"/>
      <c r="AB745"/>
      <c r="AC745"/>
      <c r="AD745"/>
      <c r="AE745"/>
      <c r="AF745"/>
      <c r="AG745"/>
      <c r="AH745"/>
      <c r="AI745"/>
    </row>
    <row r="746" spans="1:35" s="33" customFormat="1" ht="15.75">
      <c r="A746" s="175"/>
      <c r="B746" s="163"/>
      <c r="C746" s="123"/>
      <c r="D746" s="123"/>
      <c r="E746" s="32"/>
      <c r="F746"/>
      <c r="G746"/>
      <c r="H746"/>
      <c r="I746"/>
      <c r="J746"/>
      <c r="K746"/>
      <c r="L746"/>
      <c r="M746"/>
      <c r="N746"/>
      <c r="O746"/>
      <c r="P746"/>
      <c r="Q746"/>
      <c r="R746"/>
      <c r="S746"/>
      <c r="T746"/>
      <c r="U746"/>
      <c r="V746"/>
      <c r="W746"/>
      <c r="X746"/>
      <c r="Y746"/>
      <c r="Z746"/>
      <c r="AA746"/>
      <c r="AB746"/>
      <c r="AC746"/>
      <c r="AD746"/>
      <c r="AE746"/>
      <c r="AF746"/>
      <c r="AG746"/>
      <c r="AH746"/>
      <c r="AI746"/>
    </row>
    <row r="747" spans="1:35" s="33" customFormat="1" ht="15.75">
      <c r="A747" s="175"/>
      <c r="B747" s="163"/>
      <c r="C747" s="123"/>
      <c r="D747" s="123"/>
      <c r="E747" s="32"/>
      <c r="F747"/>
      <c r="G747"/>
      <c r="H747"/>
      <c r="I747"/>
      <c r="J747"/>
      <c r="K747"/>
      <c r="L747"/>
      <c r="M747"/>
      <c r="N747"/>
      <c r="O747"/>
      <c r="P747"/>
      <c r="Q747"/>
      <c r="R747"/>
      <c r="S747"/>
      <c r="T747"/>
      <c r="U747"/>
      <c r="V747"/>
      <c r="W747"/>
      <c r="X747"/>
      <c r="Y747"/>
      <c r="Z747"/>
      <c r="AA747"/>
      <c r="AB747"/>
      <c r="AC747"/>
      <c r="AD747"/>
      <c r="AE747"/>
      <c r="AF747"/>
      <c r="AG747"/>
      <c r="AH747"/>
      <c r="AI747"/>
    </row>
    <row r="748" spans="1:35" s="33" customFormat="1" ht="15.75">
      <c r="A748" s="175"/>
      <c r="B748" s="163"/>
      <c r="C748" s="123"/>
      <c r="D748" s="123"/>
      <c r="E748" s="32"/>
      <c r="F748"/>
      <c r="G748"/>
      <c r="H748"/>
      <c r="I748"/>
      <c r="J748"/>
      <c r="K748"/>
      <c r="L748"/>
      <c r="M748"/>
      <c r="N748"/>
      <c r="O748"/>
      <c r="P748"/>
      <c r="Q748"/>
      <c r="R748"/>
      <c r="S748"/>
      <c r="T748"/>
      <c r="U748"/>
      <c r="V748"/>
      <c r="W748"/>
      <c r="X748"/>
      <c r="Y748"/>
      <c r="Z748"/>
      <c r="AA748"/>
      <c r="AB748"/>
      <c r="AC748"/>
      <c r="AD748"/>
      <c r="AE748"/>
      <c r="AF748"/>
      <c r="AG748"/>
      <c r="AH748"/>
      <c r="AI748"/>
    </row>
    <row r="749" spans="1:35" s="33" customFormat="1" ht="15.75">
      <c r="A749" s="175"/>
      <c r="B749" s="163"/>
      <c r="C749" s="123"/>
      <c r="D749" s="123"/>
      <c r="E749" s="32"/>
      <c r="F749"/>
      <c r="G749"/>
      <c r="H749"/>
      <c r="I749"/>
      <c r="J749"/>
      <c r="K749"/>
      <c r="L749"/>
      <c r="M749"/>
      <c r="N749"/>
      <c r="O749"/>
      <c r="P749"/>
      <c r="Q749"/>
      <c r="R749"/>
      <c r="S749"/>
      <c r="T749"/>
      <c r="U749"/>
      <c r="V749"/>
      <c r="W749"/>
      <c r="X749"/>
      <c r="Y749"/>
      <c r="Z749"/>
      <c r="AA749"/>
      <c r="AB749"/>
      <c r="AC749"/>
      <c r="AD749"/>
      <c r="AE749"/>
      <c r="AF749"/>
      <c r="AG749"/>
      <c r="AH749"/>
      <c r="AI749"/>
    </row>
    <row r="750" spans="1:35" s="33" customFormat="1" ht="15.75">
      <c r="A750" s="175"/>
      <c r="B750" s="163"/>
      <c r="C750" s="123"/>
      <c r="D750" s="123"/>
      <c r="E750" s="32"/>
      <c r="F750"/>
      <c r="G750"/>
      <c r="H750"/>
      <c r="I750"/>
      <c r="J750"/>
      <c r="K750"/>
      <c r="L750"/>
      <c r="M750"/>
      <c r="N750"/>
      <c r="O750"/>
      <c r="P750"/>
      <c r="Q750"/>
      <c r="R750"/>
      <c r="S750"/>
      <c r="T750"/>
      <c r="U750"/>
      <c r="V750"/>
      <c r="W750"/>
      <c r="X750"/>
      <c r="Y750"/>
      <c r="Z750"/>
      <c r="AA750"/>
      <c r="AB750"/>
      <c r="AC750"/>
      <c r="AD750"/>
      <c r="AE750"/>
      <c r="AF750"/>
      <c r="AG750"/>
      <c r="AH750"/>
      <c r="AI750"/>
    </row>
    <row r="751" spans="1:35" s="33" customFormat="1" ht="15.75">
      <c r="A751" s="175"/>
      <c r="B751" s="163"/>
      <c r="C751" s="123"/>
      <c r="D751" s="123"/>
      <c r="E751" s="32"/>
      <c r="F751"/>
      <c r="G751"/>
      <c r="H751"/>
      <c r="I751"/>
      <c r="J751"/>
      <c r="K751"/>
      <c r="L751"/>
      <c r="M751"/>
      <c r="N751"/>
      <c r="O751"/>
      <c r="P751"/>
      <c r="Q751"/>
      <c r="R751"/>
      <c r="S751"/>
      <c r="T751"/>
      <c r="U751"/>
      <c r="V751"/>
      <c r="W751"/>
      <c r="X751"/>
      <c r="Y751"/>
      <c r="Z751"/>
      <c r="AA751"/>
      <c r="AB751"/>
      <c r="AC751"/>
      <c r="AD751"/>
      <c r="AE751"/>
      <c r="AF751"/>
      <c r="AG751"/>
      <c r="AH751"/>
      <c r="AI751"/>
    </row>
    <row r="752" spans="1:35" s="33" customFormat="1" ht="15.75">
      <c r="A752" s="175"/>
      <c r="B752" s="163"/>
      <c r="C752" s="123"/>
      <c r="D752" s="123"/>
      <c r="E752" s="32"/>
      <c r="F752"/>
      <c r="G752"/>
      <c r="H752"/>
      <c r="I752"/>
      <c r="J752"/>
      <c r="K752"/>
      <c r="L752"/>
      <c r="M752"/>
      <c r="N752"/>
      <c r="O752"/>
      <c r="P752"/>
      <c r="Q752"/>
      <c r="R752"/>
      <c r="S752"/>
      <c r="T752"/>
      <c r="U752"/>
      <c r="V752"/>
      <c r="W752"/>
      <c r="X752"/>
      <c r="Y752"/>
      <c r="Z752"/>
      <c r="AA752"/>
      <c r="AB752"/>
      <c r="AC752"/>
      <c r="AD752"/>
      <c r="AE752"/>
      <c r="AF752"/>
      <c r="AG752"/>
      <c r="AH752"/>
      <c r="AI752"/>
    </row>
    <row r="753" spans="1:35" s="33" customFormat="1" ht="15.75">
      <c r="A753" s="175"/>
      <c r="B753" s="163"/>
      <c r="C753" s="123"/>
      <c r="D753" s="123"/>
      <c r="E753" s="32"/>
      <c r="F753"/>
      <c r="G753"/>
      <c r="H753"/>
      <c r="I753"/>
      <c r="J753"/>
      <c r="K753"/>
      <c r="L753"/>
      <c r="M753"/>
      <c r="N753"/>
      <c r="O753"/>
      <c r="P753"/>
      <c r="Q753"/>
      <c r="R753"/>
      <c r="S753"/>
      <c r="T753"/>
      <c r="U753"/>
      <c r="V753"/>
      <c r="W753"/>
      <c r="X753"/>
      <c r="Y753"/>
      <c r="Z753"/>
      <c r="AA753"/>
      <c r="AB753"/>
      <c r="AC753"/>
      <c r="AD753"/>
      <c r="AE753"/>
      <c r="AF753"/>
      <c r="AG753"/>
      <c r="AH753"/>
      <c r="AI753"/>
    </row>
    <row r="754" spans="1:35" s="33" customFormat="1" ht="15.75">
      <c r="A754" s="175"/>
      <c r="B754" s="163"/>
      <c r="C754" s="123"/>
      <c r="D754" s="123"/>
      <c r="E754" s="32"/>
      <c r="F754"/>
      <c r="G754"/>
      <c r="H754"/>
      <c r="I754"/>
      <c r="J754"/>
      <c r="K754"/>
      <c r="L754"/>
      <c r="M754"/>
      <c r="N754"/>
      <c r="O754"/>
      <c r="P754"/>
      <c r="Q754"/>
      <c r="R754"/>
      <c r="S754"/>
      <c r="T754"/>
      <c r="U754"/>
      <c r="V754"/>
      <c r="W754"/>
      <c r="X754"/>
      <c r="Y754"/>
      <c r="Z754"/>
      <c r="AA754"/>
      <c r="AB754"/>
      <c r="AC754"/>
      <c r="AD754"/>
      <c r="AE754"/>
      <c r="AF754"/>
      <c r="AG754"/>
      <c r="AH754"/>
      <c r="AI754"/>
    </row>
    <row r="755" spans="1:35" s="33" customFormat="1" ht="15.75">
      <c r="A755" s="175"/>
      <c r="B755" s="163"/>
      <c r="C755" s="123"/>
      <c r="D755" s="123"/>
      <c r="E755" s="32"/>
      <c r="F755"/>
      <c r="G755"/>
      <c r="H755"/>
      <c r="I755"/>
      <c r="J755"/>
      <c r="K755"/>
      <c r="L755"/>
      <c r="M755"/>
      <c r="N755"/>
      <c r="O755"/>
      <c r="P755"/>
      <c r="Q755"/>
      <c r="R755"/>
      <c r="S755"/>
      <c r="T755"/>
      <c r="U755"/>
      <c r="V755"/>
      <c r="W755"/>
      <c r="X755"/>
      <c r="Y755"/>
      <c r="Z755"/>
      <c r="AA755"/>
      <c r="AB755"/>
      <c r="AC755"/>
      <c r="AD755"/>
      <c r="AE755"/>
      <c r="AF755"/>
      <c r="AG755"/>
      <c r="AH755"/>
      <c r="AI755"/>
    </row>
    <row r="756" spans="1:35" s="33" customFormat="1" ht="15.75">
      <c r="A756" s="175"/>
      <c r="B756" s="163"/>
      <c r="C756" s="123"/>
      <c r="D756" s="123"/>
      <c r="E756" s="32"/>
      <c r="F756"/>
      <c r="G756"/>
      <c r="H756"/>
      <c r="I756"/>
      <c r="J756"/>
      <c r="K756"/>
      <c r="L756"/>
      <c r="M756"/>
      <c r="N756"/>
      <c r="O756"/>
      <c r="P756"/>
      <c r="Q756"/>
      <c r="R756"/>
      <c r="S756"/>
      <c r="T756"/>
      <c r="U756"/>
      <c r="V756"/>
      <c r="W756"/>
      <c r="X756"/>
      <c r="Y756"/>
      <c r="Z756"/>
      <c r="AA756"/>
      <c r="AB756"/>
      <c r="AC756"/>
      <c r="AD756"/>
      <c r="AE756"/>
      <c r="AF756"/>
      <c r="AG756"/>
      <c r="AH756"/>
      <c r="AI756"/>
    </row>
    <row r="757" spans="1:35" s="33" customFormat="1" ht="15.75">
      <c r="A757" s="175"/>
      <c r="B757" s="163"/>
      <c r="C757" s="123"/>
      <c r="D757" s="123"/>
      <c r="E757" s="32"/>
      <c r="F757"/>
      <c r="G757"/>
      <c r="H757"/>
      <c r="I757"/>
      <c r="J757"/>
      <c r="K757"/>
      <c r="L757"/>
      <c r="M757"/>
      <c r="N757"/>
      <c r="O757"/>
      <c r="P757"/>
      <c r="Q757"/>
      <c r="R757"/>
      <c r="S757"/>
      <c r="T757"/>
      <c r="U757"/>
      <c r="V757"/>
      <c r="W757"/>
      <c r="X757"/>
      <c r="Y757"/>
      <c r="Z757"/>
      <c r="AA757"/>
      <c r="AB757"/>
      <c r="AC757"/>
      <c r="AD757"/>
      <c r="AE757"/>
      <c r="AF757"/>
      <c r="AG757"/>
      <c r="AH757"/>
      <c r="AI757"/>
    </row>
    <row r="758" spans="1:35" s="33" customFormat="1" ht="15.75">
      <c r="A758" s="175"/>
      <c r="B758" s="163"/>
      <c r="C758" s="123"/>
      <c r="D758" s="123"/>
      <c r="E758" s="32"/>
      <c r="F758"/>
      <c r="G758"/>
      <c r="H758"/>
      <c r="I758"/>
      <c r="J758"/>
      <c r="K758"/>
      <c r="L758"/>
      <c r="M758"/>
      <c r="N758"/>
      <c r="O758"/>
      <c r="P758"/>
      <c r="Q758"/>
      <c r="R758"/>
      <c r="S758"/>
      <c r="T758"/>
      <c r="U758"/>
      <c r="V758"/>
      <c r="W758"/>
      <c r="X758"/>
      <c r="Y758"/>
      <c r="Z758"/>
      <c r="AA758"/>
      <c r="AB758"/>
      <c r="AC758"/>
      <c r="AD758"/>
      <c r="AE758"/>
      <c r="AF758"/>
      <c r="AG758"/>
      <c r="AH758"/>
      <c r="AI758"/>
    </row>
    <row r="759" spans="1:35" s="33" customFormat="1" ht="15.75">
      <c r="A759" s="175"/>
      <c r="B759" s="163"/>
      <c r="C759" s="123"/>
      <c r="D759" s="123"/>
      <c r="E759" s="32"/>
      <c r="F759"/>
      <c r="G759"/>
      <c r="H759"/>
      <c r="I759"/>
      <c r="J759"/>
      <c r="K759"/>
      <c r="L759"/>
      <c r="M759"/>
      <c r="N759"/>
      <c r="O759"/>
      <c r="P759"/>
      <c r="Q759"/>
      <c r="R759"/>
      <c r="S759"/>
      <c r="T759"/>
      <c r="U759"/>
      <c r="V759"/>
      <c r="W759"/>
      <c r="X759"/>
      <c r="Y759"/>
      <c r="Z759"/>
      <c r="AA759"/>
      <c r="AB759"/>
      <c r="AC759"/>
      <c r="AD759"/>
      <c r="AE759"/>
      <c r="AF759"/>
      <c r="AG759"/>
      <c r="AH759"/>
      <c r="AI759"/>
    </row>
    <row r="760" spans="1:35" s="33" customFormat="1" ht="15.75">
      <c r="A760" s="175"/>
      <c r="B760" s="163"/>
      <c r="C760" s="123"/>
      <c r="D760" s="123"/>
      <c r="E760" s="32"/>
      <c r="F760"/>
      <c r="G760"/>
      <c r="H760"/>
      <c r="I760"/>
      <c r="J760"/>
      <c r="K760"/>
      <c r="L760"/>
      <c r="M760"/>
      <c r="N760"/>
      <c r="O760"/>
      <c r="P760"/>
      <c r="Q760"/>
      <c r="R760"/>
      <c r="S760"/>
      <c r="T760"/>
      <c r="U760"/>
      <c r="V760"/>
      <c r="W760"/>
      <c r="X760"/>
      <c r="Y760"/>
      <c r="Z760"/>
      <c r="AA760"/>
      <c r="AB760"/>
      <c r="AC760"/>
      <c r="AD760"/>
      <c r="AE760"/>
      <c r="AF760"/>
      <c r="AG760"/>
      <c r="AH760"/>
      <c r="AI760"/>
    </row>
    <row r="761" spans="1:35" s="33" customFormat="1" ht="15.75">
      <c r="A761" s="175"/>
      <c r="B761" s="163"/>
      <c r="C761" s="123"/>
      <c r="D761" s="123"/>
      <c r="E761" s="32"/>
      <c r="F761"/>
      <c r="G761"/>
      <c r="H761"/>
      <c r="I761"/>
      <c r="J761"/>
      <c r="K761"/>
      <c r="L761"/>
      <c r="M761"/>
      <c r="N761"/>
      <c r="O761"/>
      <c r="P761"/>
      <c r="Q761"/>
      <c r="R761"/>
      <c r="S761"/>
      <c r="T761"/>
      <c r="U761"/>
      <c r="V761"/>
      <c r="W761"/>
      <c r="X761"/>
      <c r="Y761"/>
      <c r="Z761"/>
      <c r="AA761"/>
      <c r="AB761"/>
      <c r="AC761"/>
      <c r="AD761"/>
      <c r="AE761"/>
      <c r="AF761"/>
      <c r="AG761"/>
      <c r="AH761"/>
      <c r="AI761"/>
    </row>
    <row r="762" spans="1:35" s="33" customFormat="1" ht="15.75">
      <c r="A762" s="175"/>
      <c r="B762" s="163"/>
      <c r="C762" s="123"/>
      <c r="D762" s="123"/>
      <c r="E762" s="32"/>
      <c r="F762"/>
      <c r="G762"/>
      <c r="H762"/>
      <c r="I762"/>
      <c r="J762"/>
      <c r="K762"/>
      <c r="L762"/>
      <c r="M762"/>
      <c r="N762"/>
      <c r="O762"/>
      <c r="P762"/>
      <c r="Q762"/>
      <c r="R762"/>
      <c r="S762"/>
      <c r="T762"/>
      <c r="U762"/>
      <c r="V762"/>
      <c r="W762"/>
      <c r="X762"/>
      <c r="Y762"/>
      <c r="Z762"/>
      <c r="AA762"/>
      <c r="AB762"/>
      <c r="AC762"/>
      <c r="AD762"/>
      <c r="AE762"/>
      <c r="AF762"/>
      <c r="AG762"/>
      <c r="AH762"/>
      <c r="AI762"/>
    </row>
    <row r="763" spans="1:35" s="33" customFormat="1" ht="15.75">
      <c r="A763" s="175"/>
      <c r="B763" s="163"/>
      <c r="C763" s="123"/>
      <c r="D763" s="123"/>
      <c r="E763" s="32"/>
      <c r="F763"/>
      <c r="G763"/>
      <c r="H763"/>
      <c r="I763"/>
      <c r="J763"/>
      <c r="K763"/>
      <c r="L763"/>
      <c r="M763"/>
      <c r="N763"/>
      <c r="O763"/>
      <c r="P763"/>
      <c r="Q763"/>
      <c r="R763"/>
      <c r="S763"/>
      <c r="T763"/>
      <c r="U763"/>
      <c r="V763"/>
      <c r="W763"/>
      <c r="X763"/>
      <c r="Y763"/>
      <c r="Z763"/>
      <c r="AA763"/>
      <c r="AB763"/>
      <c r="AC763"/>
      <c r="AD763"/>
      <c r="AE763"/>
      <c r="AF763"/>
      <c r="AG763"/>
      <c r="AH763"/>
      <c r="AI763"/>
    </row>
    <row r="764" spans="1:35" s="33" customFormat="1" ht="15.75">
      <c r="A764" s="175"/>
      <c r="B764" s="163"/>
      <c r="C764" s="123"/>
      <c r="D764" s="123"/>
      <c r="E764" s="32"/>
      <c r="F764"/>
      <c r="G764"/>
      <c r="H764"/>
      <c r="I764"/>
      <c r="J764"/>
      <c r="K764"/>
      <c r="L764"/>
      <c r="M764"/>
      <c r="N764"/>
      <c r="O764"/>
      <c r="P764"/>
      <c r="Q764"/>
      <c r="R764"/>
      <c r="S764"/>
      <c r="T764"/>
      <c r="U764"/>
      <c r="V764"/>
      <c r="W764"/>
      <c r="X764"/>
      <c r="Y764"/>
      <c r="Z764"/>
      <c r="AA764"/>
      <c r="AB764"/>
      <c r="AC764"/>
      <c r="AD764"/>
      <c r="AE764"/>
      <c r="AF764"/>
      <c r="AG764"/>
      <c r="AH764"/>
      <c r="AI764"/>
    </row>
    <row r="765" spans="1:35" s="33" customFormat="1" ht="15.75">
      <c r="A765" s="175"/>
      <c r="B765" s="163"/>
      <c r="C765" s="123"/>
      <c r="D765" s="123"/>
      <c r="E765" s="32"/>
      <c r="F765"/>
      <c r="G765"/>
      <c r="H765"/>
      <c r="I765"/>
      <c r="J765"/>
      <c r="K765"/>
      <c r="L765"/>
      <c r="M765"/>
      <c r="N765"/>
      <c r="O765"/>
      <c r="P765"/>
      <c r="Q765"/>
      <c r="R765"/>
      <c r="S765"/>
      <c r="T765"/>
      <c r="U765"/>
      <c r="V765"/>
      <c r="W765"/>
      <c r="X765"/>
      <c r="Y765"/>
      <c r="Z765"/>
      <c r="AA765"/>
      <c r="AB765"/>
      <c r="AC765"/>
      <c r="AD765"/>
      <c r="AE765"/>
      <c r="AF765"/>
      <c r="AG765"/>
      <c r="AH765"/>
      <c r="AI765"/>
    </row>
    <row r="766" spans="1:35" s="33" customFormat="1" ht="15.75">
      <c r="A766" s="175"/>
      <c r="B766" s="163"/>
      <c r="C766" s="123"/>
      <c r="D766" s="123"/>
      <c r="E766" s="32"/>
      <c r="F766"/>
      <c r="G766"/>
      <c r="H766"/>
      <c r="I766"/>
      <c r="J766"/>
      <c r="K766"/>
      <c r="L766"/>
      <c r="M766"/>
      <c r="N766"/>
      <c r="O766"/>
      <c r="P766"/>
      <c r="Q766"/>
      <c r="R766"/>
      <c r="S766"/>
      <c r="T766"/>
      <c r="U766"/>
      <c r="V766"/>
      <c r="W766"/>
      <c r="X766"/>
      <c r="Y766"/>
      <c r="Z766"/>
      <c r="AA766"/>
      <c r="AB766"/>
      <c r="AC766"/>
      <c r="AD766"/>
      <c r="AE766"/>
      <c r="AF766"/>
      <c r="AG766"/>
      <c r="AH766"/>
      <c r="AI766"/>
    </row>
    <row r="767" spans="1:35" s="33" customFormat="1" ht="15.75">
      <c r="A767" s="175"/>
      <c r="B767" s="163"/>
      <c r="C767" s="123"/>
      <c r="D767" s="123"/>
      <c r="E767" s="32"/>
      <c r="F767"/>
      <c r="G767"/>
      <c r="H767"/>
      <c r="I767"/>
      <c r="J767"/>
      <c r="K767"/>
      <c r="L767"/>
      <c r="M767"/>
      <c r="N767"/>
      <c r="O767"/>
      <c r="P767"/>
      <c r="Q767"/>
      <c r="R767"/>
      <c r="S767"/>
      <c r="T767"/>
      <c r="U767"/>
      <c r="V767"/>
      <c r="W767"/>
      <c r="X767"/>
      <c r="Y767"/>
      <c r="Z767"/>
      <c r="AA767"/>
      <c r="AB767"/>
      <c r="AC767"/>
      <c r="AD767"/>
      <c r="AE767"/>
      <c r="AF767"/>
      <c r="AG767"/>
      <c r="AH767"/>
      <c r="AI767"/>
    </row>
    <row r="768" spans="1:35" s="33" customFormat="1" ht="15.75">
      <c r="A768" s="175"/>
      <c r="B768" s="163"/>
      <c r="C768" s="123"/>
      <c r="D768" s="123"/>
      <c r="E768" s="32"/>
      <c r="F768"/>
      <c r="G768"/>
      <c r="H768"/>
      <c r="I768"/>
      <c r="J768"/>
      <c r="K768"/>
      <c r="L768"/>
      <c r="M768"/>
      <c r="N768"/>
      <c r="O768"/>
      <c r="P768"/>
      <c r="Q768"/>
      <c r="R768"/>
      <c r="S768"/>
      <c r="T768"/>
      <c r="U768"/>
      <c r="V768"/>
      <c r="W768"/>
      <c r="X768"/>
      <c r="Y768"/>
      <c r="Z768"/>
      <c r="AA768"/>
      <c r="AB768"/>
      <c r="AC768"/>
      <c r="AD768"/>
      <c r="AE768"/>
      <c r="AF768"/>
      <c r="AG768"/>
      <c r="AH768"/>
      <c r="AI768"/>
    </row>
    <row r="769" spans="1:35" s="33" customFormat="1" ht="15.75">
      <c r="A769" s="175"/>
      <c r="B769" s="163"/>
      <c r="C769" s="123"/>
      <c r="D769" s="123"/>
      <c r="E769" s="32"/>
      <c r="F769"/>
      <c r="G769"/>
      <c r="H769"/>
      <c r="I769"/>
      <c r="J769"/>
      <c r="K769"/>
      <c r="L769"/>
      <c r="M769"/>
      <c r="N769"/>
      <c r="O769"/>
      <c r="P769"/>
      <c r="Q769"/>
      <c r="R769"/>
      <c r="S769"/>
      <c r="T769"/>
      <c r="U769"/>
      <c r="V769"/>
      <c r="W769"/>
      <c r="X769"/>
      <c r="Y769"/>
      <c r="Z769"/>
      <c r="AA769"/>
      <c r="AB769"/>
      <c r="AC769"/>
      <c r="AD769"/>
      <c r="AE769"/>
      <c r="AF769"/>
      <c r="AG769"/>
      <c r="AH769"/>
      <c r="AI769"/>
    </row>
    <row r="770" spans="1:35" s="33" customFormat="1" ht="15.75">
      <c r="A770" s="175"/>
      <c r="B770" s="163"/>
      <c r="C770" s="123"/>
      <c r="D770" s="123"/>
      <c r="E770" s="32"/>
      <c r="F770"/>
      <c r="G770"/>
      <c r="H770"/>
      <c r="I770"/>
      <c r="J770"/>
      <c r="K770"/>
      <c r="L770"/>
      <c r="M770"/>
      <c r="N770"/>
      <c r="O770"/>
      <c r="P770"/>
      <c r="Q770"/>
      <c r="R770"/>
      <c r="S770"/>
      <c r="T770"/>
      <c r="U770"/>
      <c r="V770"/>
      <c r="W770"/>
      <c r="X770"/>
      <c r="Y770"/>
      <c r="Z770"/>
      <c r="AA770"/>
      <c r="AB770"/>
      <c r="AC770"/>
      <c r="AD770"/>
      <c r="AE770"/>
      <c r="AF770"/>
      <c r="AG770"/>
      <c r="AH770"/>
      <c r="AI770"/>
    </row>
    <row r="771" spans="1:35" s="33" customFormat="1" ht="15.75">
      <c r="A771" s="175"/>
      <c r="B771" s="163"/>
      <c r="C771" s="123"/>
      <c r="D771" s="123"/>
      <c r="E771" s="32"/>
      <c r="F771"/>
      <c r="G771"/>
      <c r="H771"/>
      <c r="I771"/>
      <c r="J771"/>
      <c r="K771"/>
      <c r="L771"/>
      <c r="M771"/>
      <c r="N771"/>
      <c r="O771"/>
      <c r="P771"/>
      <c r="Q771"/>
      <c r="R771"/>
      <c r="S771"/>
      <c r="T771"/>
      <c r="U771"/>
      <c r="V771"/>
      <c r="W771"/>
      <c r="X771"/>
      <c r="Y771"/>
      <c r="Z771"/>
      <c r="AA771"/>
      <c r="AB771"/>
      <c r="AC771"/>
      <c r="AD771"/>
      <c r="AE771"/>
      <c r="AF771"/>
      <c r="AG771"/>
      <c r="AH771"/>
      <c r="AI771"/>
    </row>
    <row r="772" spans="1:35" s="33" customFormat="1" ht="15.75">
      <c r="A772" s="175"/>
      <c r="B772" s="163"/>
      <c r="C772" s="123"/>
      <c r="D772" s="123"/>
      <c r="E772" s="32"/>
      <c r="F772"/>
      <c r="G772"/>
      <c r="H772"/>
      <c r="I772"/>
      <c r="J772"/>
      <c r="K772"/>
      <c r="L772"/>
      <c r="M772"/>
      <c r="N772"/>
      <c r="O772"/>
      <c r="P772"/>
      <c r="Q772"/>
      <c r="R772"/>
      <c r="S772"/>
      <c r="T772"/>
      <c r="U772"/>
      <c r="V772"/>
      <c r="W772"/>
      <c r="X772"/>
      <c r="Y772"/>
      <c r="Z772"/>
      <c r="AA772"/>
      <c r="AB772"/>
      <c r="AC772"/>
      <c r="AD772"/>
      <c r="AE772"/>
      <c r="AF772"/>
      <c r="AG772"/>
      <c r="AH772"/>
      <c r="AI772"/>
    </row>
    <row r="773" spans="1:35" s="33" customFormat="1" ht="15.75">
      <c r="A773" s="175"/>
      <c r="B773" s="163"/>
      <c r="C773" s="123"/>
      <c r="D773" s="123"/>
      <c r="E773" s="32"/>
      <c r="F773"/>
      <c r="G773"/>
      <c r="H773"/>
      <c r="I773"/>
      <c r="J773"/>
      <c r="K773"/>
      <c r="L773"/>
      <c r="M773"/>
      <c r="N773"/>
      <c r="O773"/>
      <c r="P773"/>
      <c r="Q773"/>
      <c r="R773"/>
      <c r="S773"/>
      <c r="T773"/>
      <c r="U773"/>
      <c r="V773"/>
      <c r="W773"/>
      <c r="X773"/>
      <c r="Y773"/>
      <c r="Z773"/>
      <c r="AA773"/>
      <c r="AB773"/>
      <c r="AC773"/>
      <c r="AD773"/>
      <c r="AE773"/>
      <c r="AF773"/>
      <c r="AG773"/>
      <c r="AH773"/>
      <c r="AI773"/>
    </row>
    <row r="774" spans="1:35" s="33" customFormat="1" ht="15.75">
      <c r="A774" s="175"/>
      <c r="B774" s="163"/>
      <c r="C774" s="123"/>
      <c r="D774" s="123"/>
      <c r="E774" s="32"/>
      <c r="F774"/>
      <c r="G774"/>
      <c r="H774"/>
      <c r="I774"/>
      <c r="J774"/>
      <c r="K774"/>
      <c r="L774"/>
      <c r="M774"/>
      <c r="N774"/>
      <c r="O774"/>
      <c r="P774"/>
      <c r="Q774"/>
      <c r="R774"/>
      <c r="S774"/>
      <c r="T774"/>
      <c r="U774"/>
      <c r="V774"/>
      <c r="W774"/>
      <c r="X774"/>
      <c r="Y774"/>
      <c r="Z774"/>
      <c r="AA774"/>
      <c r="AB774"/>
      <c r="AC774"/>
      <c r="AD774"/>
      <c r="AE774"/>
      <c r="AF774"/>
      <c r="AG774"/>
      <c r="AH774"/>
      <c r="AI774"/>
    </row>
    <row r="775" spans="1:35" s="33" customFormat="1" ht="15.75">
      <c r="A775" s="175"/>
      <c r="B775" s="163"/>
      <c r="C775" s="123"/>
      <c r="D775" s="123"/>
      <c r="E775" s="32"/>
      <c r="F775"/>
      <c r="G775"/>
      <c r="H775"/>
      <c r="I775"/>
      <c r="J775"/>
      <c r="K775"/>
      <c r="L775"/>
      <c r="M775"/>
      <c r="N775"/>
      <c r="O775"/>
      <c r="P775"/>
      <c r="Q775"/>
      <c r="R775"/>
      <c r="S775"/>
      <c r="T775"/>
      <c r="U775"/>
      <c r="V775"/>
      <c r="W775"/>
      <c r="X775"/>
      <c r="Y775"/>
      <c r="Z775"/>
      <c r="AA775"/>
      <c r="AB775"/>
      <c r="AC775"/>
      <c r="AD775"/>
      <c r="AE775"/>
      <c r="AF775"/>
      <c r="AG775"/>
      <c r="AH775"/>
      <c r="AI775"/>
    </row>
    <row r="776" spans="1:35" s="33" customFormat="1" ht="15.75">
      <c r="A776" s="175"/>
      <c r="B776" s="163"/>
      <c r="C776" s="123"/>
      <c r="D776" s="123"/>
      <c r="E776" s="32"/>
      <c r="F776"/>
      <c r="G776"/>
      <c r="H776"/>
      <c r="I776"/>
      <c r="J776"/>
      <c r="K776"/>
      <c r="L776"/>
      <c r="M776"/>
      <c r="N776"/>
      <c r="O776"/>
      <c r="P776"/>
      <c r="Q776"/>
      <c r="R776"/>
      <c r="S776"/>
      <c r="T776"/>
      <c r="U776"/>
      <c r="V776"/>
      <c r="W776"/>
      <c r="X776"/>
      <c r="Y776"/>
      <c r="Z776"/>
      <c r="AA776"/>
      <c r="AB776"/>
      <c r="AC776"/>
      <c r="AD776"/>
      <c r="AE776"/>
      <c r="AF776"/>
      <c r="AG776"/>
      <c r="AH776"/>
      <c r="AI776"/>
    </row>
    <row r="777" spans="1:35" s="33" customFormat="1" ht="15.75">
      <c r="A777" s="175"/>
      <c r="B777" s="163"/>
      <c r="C777" s="123"/>
      <c r="D777" s="123"/>
      <c r="E777" s="32"/>
      <c r="F777"/>
      <c r="G777"/>
      <c r="H777"/>
      <c r="I777"/>
      <c r="J777"/>
      <c r="K777"/>
      <c r="L777"/>
      <c r="M777"/>
      <c r="N777"/>
      <c r="O777"/>
      <c r="P777"/>
      <c r="Q777"/>
      <c r="R777"/>
      <c r="S777"/>
      <c r="T777"/>
      <c r="U777"/>
      <c r="V777"/>
      <c r="W777"/>
      <c r="X777"/>
      <c r="Y777"/>
      <c r="Z777"/>
      <c r="AA777"/>
      <c r="AB777"/>
      <c r="AC777"/>
      <c r="AD777"/>
      <c r="AE777"/>
      <c r="AF777"/>
      <c r="AG777"/>
      <c r="AH777"/>
      <c r="AI777"/>
    </row>
    <row r="778" spans="1:35" s="33" customFormat="1" ht="15.75">
      <c r="A778" s="175"/>
      <c r="B778" s="163"/>
      <c r="C778" s="123"/>
      <c r="D778" s="123"/>
      <c r="E778" s="32"/>
      <c r="F778"/>
      <c r="G778"/>
      <c r="H778"/>
      <c r="I778"/>
      <c r="J778"/>
      <c r="K778"/>
      <c r="L778"/>
      <c r="M778"/>
      <c r="N778"/>
      <c r="O778"/>
      <c r="P778"/>
      <c r="Q778"/>
      <c r="R778"/>
      <c r="S778"/>
      <c r="T778"/>
      <c r="U778"/>
      <c r="V778"/>
      <c r="W778"/>
      <c r="X778"/>
      <c r="Y778"/>
      <c r="Z778"/>
      <c r="AA778"/>
      <c r="AB778"/>
      <c r="AC778"/>
      <c r="AD778"/>
      <c r="AE778"/>
      <c r="AF778"/>
      <c r="AG778"/>
      <c r="AH778"/>
      <c r="AI778"/>
    </row>
    <row r="779" spans="1:35" s="33" customFormat="1" ht="15.75">
      <c r="A779" s="175"/>
      <c r="B779" s="163"/>
      <c r="C779" s="123"/>
      <c r="D779" s="123"/>
      <c r="E779" s="32"/>
      <c r="F779"/>
      <c r="G779"/>
      <c r="H779"/>
      <c r="I779"/>
      <c r="J779"/>
      <c r="K779"/>
      <c r="L779"/>
      <c r="M779"/>
      <c r="N779"/>
      <c r="O779"/>
      <c r="P779"/>
      <c r="Q779"/>
      <c r="R779"/>
      <c r="S779"/>
      <c r="T779"/>
      <c r="U779"/>
      <c r="V779"/>
      <c r="W779"/>
      <c r="X779"/>
      <c r="Y779"/>
      <c r="Z779"/>
      <c r="AA779"/>
      <c r="AB779"/>
      <c r="AC779"/>
      <c r="AD779"/>
      <c r="AE779"/>
      <c r="AF779"/>
      <c r="AG779"/>
      <c r="AH779"/>
      <c r="AI779"/>
    </row>
    <row r="780" spans="1:35" s="33" customFormat="1" ht="15.75">
      <c r="A780" s="175"/>
      <c r="B780" s="163"/>
      <c r="C780" s="123"/>
      <c r="D780" s="123"/>
      <c r="E780" s="32"/>
      <c r="F780"/>
      <c r="G780"/>
      <c r="H780"/>
      <c r="I780"/>
      <c r="J780"/>
      <c r="K780"/>
      <c r="L780"/>
      <c r="M780"/>
      <c r="N780"/>
      <c r="O780"/>
      <c r="P780"/>
      <c r="Q780"/>
      <c r="R780"/>
      <c r="S780"/>
      <c r="T780"/>
      <c r="U780"/>
      <c r="V780"/>
      <c r="W780"/>
      <c r="X780"/>
      <c r="Y780"/>
      <c r="Z780"/>
      <c r="AA780"/>
      <c r="AB780"/>
      <c r="AC780"/>
      <c r="AD780"/>
      <c r="AE780"/>
      <c r="AF780"/>
      <c r="AG780"/>
      <c r="AH780"/>
      <c r="AI780"/>
    </row>
    <row r="781" spans="1:35" s="33" customFormat="1" ht="15.75">
      <c r="A781" s="175"/>
      <c r="B781" s="163"/>
      <c r="C781" s="123"/>
      <c r="D781" s="123"/>
      <c r="E781" s="32"/>
      <c r="F781"/>
      <c r="G781"/>
      <c r="H781"/>
      <c r="I781"/>
      <c r="J781"/>
      <c r="K781"/>
      <c r="L781"/>
      <c r="M781"/>
      <c r="N781"/>
      <c r="O781"/>
      <c r="P781"/>
      <c r="Q781"/>
      <c r="R781"/>
      <c r="S781"/>
      <c r="T781"/>
      <c r="U781"/>
      <c r="V781"/>
      <c r="W781"/>
      <c r="X781"/>
      <c r="Y781"/>
      <c r="Z781"/>
      <c r="AA781"/>
      <c r="AB781"/>
      <c r="AC781"/>
      <c r="AD781"/>
      <c r="AE781"/>
      <c r="AF781"/>
      <c r="AG781"/>
      <c r="AH781"/>
      <c r="AI781"/>
    </row>
    <row r="782" spans="1:35" s="33" customFormat="1" ht="15.75">
      <c r="A782" s="175"/>
      <c r="B782" s="163"/>
      <c r="C782" s="123"/>
      <c r="D782" s="123"/>
      <c r="E782" s="32"/>
      <c r="F782"/>
      <c r="G782"/>
      <c r="H782"/>
      <c r="I782"/>
      <c r="J782"/>
      <c r="K782"/>
      <c r="L782"/>
      <c r="M782"/>
      <c r="N782"/>
      <c r="O782"/>
      <c r="P782"/>
      <c r="Q782"/>
      <c r="R782"/>
      <c r="S782"/>
      <c r="T782"/>
      <c r="U782"/>
      <c r="V782"/>
      <c r="W782"/>
      <c r="X782"/>
      <c r="Y782"/>
      <c r="Z782"/>
      <c r="AA782"/>
      <c r="AB782"/>
      <c r="AC782"/>
      <c r="AD782"/>
      <c r="AE782"/>
      <c r="AF782"/>
      <c r="AG782"/>
      <c r="AH782"/>
      <c r="AI782"/>
    </row>
    <row r="783" spans="1:35" s="33" customFormat="1" ht="15.75">
      <c r="A783" s="175"/>
      <c r="B783" s="163"/>
      <c r="C783" s="123"/>
      <c r="D783" s="123"/>
      <c r="E783" s="32"/>
      <c r="F783"/>
      <c r="G783"/>
      <c r="H783"/>
      <c r="I783"/>
      <c r="J783"/>
      <c r="K783"/>
      <c r="L783"/>
      <c r="M783"/>
      <c r="N783"/>
      <c r="O783"/>
      <c r="P783"/>
      <c r="Q783"/>
      <c r="R783"/>
      <c r="S783"/>
      <c r="T783"/>
      <c r="U783"/>
      <c r="V783"/>
      <c r="W783"/>
      <c r="X783"/>
      <c r="Y783"/>
      <c r="Z783"/>
      <c r="AA783"/>
      <c r="AB783"/>
      <c r="AC783"/>
      <c r="AD783"/>
      <c r="AE783"/>
      <c r="AF783"/>
      <c r="AG783"/>
      <c r="AH783"/>
      <c r="AI783"/>
    </row>
    <row r="784" spans="1:35" s="33" customFormat="1" ht="15.75">
      <c r="A784" s="175"/>
      <c r="B784" s="163"/>
      <c r="C784" s="123"/>
      <c r="D784" s="123"/>
      <c r="E784" s="32"/>
      <c r="F784"/>
      <c r="G784"/>
      <c r="H784"/>
      <c r="I784"/>
      <c r="J784"/>
      <c r="K784"/>
      <c r="L784"/>
      <c r="M784"/>
      <c r="N784"/>
      <c r="O784"/>
      <c r="P784"/>
      <c r="Q784"/>
      <c r="R784"/>
      <c r="S784"/>
      <c r="T784"/>
      <c r="U784"/>
      <c r="V784"/>
      <c r="W784"/>
      <c r="X784"/>
      <c r="Y784"/>
      <c r="Z784"/>
      <c r="AA784"/>
      <c r="AB784"/>
      <c r="AC784"/>
      <c r="AD784"/>
      <c r="AE784"/>
      <c r="AF784"/>
      <c r="AG784"/>
      <c r="AH784"/>
      <c r="AI784"/>
    </row>
    <row r="785" spans="1:35" s="33" customFormat="1" ht="15.75">
      <c r="A785" s="175"/>
      <c r="B785" s="163"/>
      <c r="C785" s="123"/>
      <c r="D785" s="123"/>
      <c r="E785" s="32"/>
      <c r="F785"/>
      <c r="G785"/>
      <c r="H785"/>
      <c r="I785"/>
      <c r="J785"/>
      <c r="K785"/>
      <c r="L785"/>
      <c r="M785"/>
      <c r="N785"/>
      <c r="O785"/>
      <c r="P785"/>
      <c r="Q785"/>
      <c r="R785"/>
      <c r="S785"/>
      <c r="T785"/>
      <c r="U785"/>
      <c r="V785"/>
      <c r="W785"/>
      <c r="X785"/>
      <c r="Y785"/>
      <c r="Z785"/>
      <c r="AA785"/>
      <c r="AB785"/>
      <c r="AC785"/>
      <c r="AD785"/>
      <c r="AE785"/>
      <c r="AF785"/>
      <c r="AG785"/>
      <c r="AH785"/>
      <c r="AI785"/>
    </row>
    <row r="786" spans="1:35" s="33" customFormat="1" ht="15.75">
      <c r="A786" s="175"/>
      <c r="B786" s="163"/>
      <c r="C786" s="123"/>
      <c r="D786" s="123"/>
      <c r="E786" s="32"/>
      <c r="F786"/>
      <c r="G786"/>
      <c r="H786"/>
      <c r="I786"/>
      <c r="J786"/>
      <c r="K786"/>
      <c r="L786"/>
      <c r="M786"/>
      <c r="N786"/>
      <c r="O786"/>
      <c r="P786"/>
      <c r="Q786"/>
      <c r="R786"/>
      <c r="S786"/>
      <c r="T786"/>
      <c r="U786"/>
      <c r="V786"/>
      <c r="W786"/>
      <c r="X786"/>
      <c r="Y786"/>
      <c r="Z786"/>
      <c r="AA786"/>
      <c r="AB786"/>
      <c r="AC786"/>
      <c r="AD786"/>
      <c r="AE786"/>
      <c r="AF786"/>
      <c r="AG786"/>
      <c r="AH786"/>
      <c r="AI786"/>
    </row>
    <row r="787" spans="1:35" s="33" customFormat="1" ht="15.75">
      <c r="A787" s="175"/>
      <c r="B787" s="163"/>
      <c r="C787" s="123"/>
      <c r="D787" s="123"/>
      <c r="E787" s="32"/>
      <c r="F787"/>
      <c r="G787"/>
      <c r="H787"/>
      <c r="I787"/>
      <c r="J787"/>
      <c r="K787"/>
      <c r="L787"/>
      <c r="M787"/>
      <c r="N787"/>
      <c r="O787"/>
      <c r="P787"/>
      <c r="Q787"/>
      <c r="R787"/>
      <c r="S787"/>
      <c r="T787"/>
      <c r="U787"/>
      <c r="V787"/>
      <c r="W787"/>
      <c r="X787"/>
      <c r="Y787"/>
      <c r="Z787"/>
      <c r="AA787"/>
      <c r="AB787"/>
      <c r="AC787"/>
      <c r="AD787"/>
      <c r="AE787"/>
      <c r="AF787"/>
      <c r="AG787"/>
      <c r="AH787"/>
      <c r="AI787"/>
    </row>
    <row r="788" spans="1:35" s="33" customFormat="1" ht="15.75">
      <c r="A788" s="175"/>
      <c r="B788" s="163"/>
      <c r="C788" s="123"/>
      <c r="D788" s="123"/>
      <c r="E788" s="32"/>
      <c r="F788"/>
      <c r="G788"/>
      <c r="H788"/>
      <c r="I788"/>
      <c r="J788"/>
      <c r="K788"/>
      <c r="L788"/>
      <c r="M788"/>
      <c r="N788"/>
      <c r="O788"/>
      <c r="P788"/>
      <c r="Q788"/>
      <c r="R788"/>
      <c r="S788"/>
      <c r="T788"/>
      <c r="U788"/>
      <c r="V788"/>
      <c r="W788"/>
      <c r="X788"/>
      <c r="Y788"/>
      <c r="Z788"/>
      <c r="AA788"/>
      <c r="AB788"/>
      <c r="AC788"/>
      <c r="AD788"/>
      <c r="AE788"/>
      <c r="AF788"/>
      <c r="AG788"/>
      <c r="AH788"/>
      <c r="AI788"/>
    </row>
    <row r="789" spans="1:35" s="33" customFormat="1" ht="15.75">
      <c r="A789" s="175"/>
      <c r="B789" s="163"/>
      <c r="C789" s="123"/>
      <c r="D789" s="123"/>
      <c r="E789" s="32"/>
      <c r="F789"/>
      <c r="G789"/>
      <c r="H789"/>
      <c r="I789"/>
      <c r="J789"/>
      <c r="K789"/>
      <c r="L789"/>
      <c r="M789"/>
      <c r="N789"/>
      <c r="O789"/>
      <c r="P789"/>
      <c r="Q789"/>
      <c r="R789"/>
      <c r="S789"/>
      <c r="T789"/>
      <c r="U789"/>
      <c r="V789"/>
      <c r="W789"/>
      <c r="X789"/>
      <c r="Y789"/>
      <c r="Z789"/>
      <c r="AA789"/>
      <c r="AB789"/>
      <c r="AC789"/>
      <c r="AD789"/>
      <c r="AE789"/>
      <c r="AF789"/>
      <c r="AG789"/>
      <c r="AH789"/>
      <c r="AI789"/>
    </row>
    <row r="790" spans="1:35" s="33" customFormat="1" ht="15.75">
      <c r="A790" s="175"/>
      <c r="B790" s="163"/>
      <c r="C790" s="123"/>
      <c r="D790" s="123"/>
      <c r="E790" s="32"/>
      <c r="F790"/>
      <c r="G790"/>
      <c r="H790"/>
      <c r="I790"/>
      <c r="J790"/>
      <c r="K790"/>
      <c r="L790"/>
      <c r="M790"/>
      <c r="N790"/>
      <c r="O790"/>
      <c r="P790"/>
      <c r="Q790"/>
      <c r="R790"/>
      <c r="S790"/>
      <c r="T790"/>
      <c r="U790"/>
      <c r="V790"/>
      <c r="W790"/>
      <c r="X790"/>
      <c r="Y790"/>
      <c r="Z790"/>
      <c r="AA790"/>
      <c r="AB790"/>
      <c r="AC790"/>
      <c r="AD790"/>
      <c r="AE790"/>
      <c r="AF790"/>
      <c r="AG790"/>
      <c r="AH790"/>
      <c r="AI790"/>
    </row>
    <row r="791" spans="1:35" s="33" customFormat="1" ht="15.75">
      <c r="A791" s="175"/>
      <c r="B791" s="163"/>
      <c r="C791" s="123"/>
      <c r="D791" s="123"/>
      <c r="E791" s="32"/>
      <c r="F791"/>
      <c r="G791"/>
      <c r="H791"/>
      <c r="I791"/>
      <c r="J791"/>
      <c r="K791"/>
      <c r="L791"/>
      <c r="M791"/>
      <c r="N791"/>
      <c r="O791"/>
      <c r="P791"/>
      <c r="Q791"/>
      <c r="R791"/>
      <c r="S791"/>
      <c r="T791"/>
      <c r="U791"/>
      <c r="V791"/>
      <c r="W791"/>
      <c r="X791"/>
      <c r="Y791"/>
      <c r="Z791"/>
      <c r="AA791"/>
      <c r="AB791"/>
      <c r="AC791"/>
      <c r="AD791"/>
      <c r="AE791"/>
      <c r="AF791"/>
      <c r="AG791"/>
      <c r="AH791"/>
      <c r="AI791"/>
    </row>
    <row r="792" spans="1:35" s="33" customFormat="1" ht="15.75">
      <c r="A792" s="175"/>
      <c r="B792" s="163"/>
      <c r="C792" s="123"/>
      <c r="D792" s="123"/>
      <c r="E792" s="32"/>
      <c r="F792"/>
      <c r="G792"/>
      <c r="H792"/>
      <c r="I792"/>
      <c r="J792"/>
      <c r="K792"/>
      <c r="L792"/>
      <c r="M792"/>
      <c r="N792"/>
      <c r="O792"/>
      <c r="P792"/>
      <c r="Q792"/>
      <c r="R792"/>
      <c r="S792"/>
      <c r="T792"/>
      <c r="U792"/>
      <c r="V792"/>
      <c r="W792"/>
      <c r="X792"/>
      <c r="Y792"/>
      <c r="Z792"/>
      <c r="AA792"/>
      <c r="AB792"/>
      <c r="AC792"/>
      <c r="AD792"/>
      <c r="AE792"/>
      <c r="AF792"/>
      <c r="AG792"/>
      <c r="AH792"/>
      <c r="AI792"/>
    </row>
    <row r="793" spans="1:35" s="33" customFormat="1" ht="15.75">
      <c r="A793" s="175"/>
      <c r="B793" s="163"/>
      <c r="C793" s="123"/>
      <c r="D793" s="123"/>
      <c r="E793" s="32"/>
      <c r="F793"/>
      <c r="G793"/>
      <c r="H793"/>
      <c r="I793"/>
      <c r="J793"/>
      <c r="K793"/>
      <c r="L793"/>
      <c r="M793"/>
      <c r="N793"/>
      <c r="O793"/>
      <c r="P793"/>
      <c r="Q793"/>
      <c r="R793"/>
      <c r="S793"/>
      <c r="T793"/>
      <c r="U793"/>
      <c r="V793"/>
      <c r="W793"/>
      <c r="X793"/>
      <c r="Y793"/>
      <c r="Z793"/>
      <c r="AA793"/>
      <c r="AB793"/>
      <c r="AC793"/>
      <c r="AD793"/>
      <c r="AE793"/>
      <c r="AF793"/>
      <c r="AG793"/>
      <c r="AH793"/>
      <c r="AI793"/>
    </row>
    <row r="794" spans="1:35" s="33" customFormat="1" ht="15.75">
      <c r="A794" s="175"/>
      <c r="B794" s="163"/>
      <c r="C794" s="123"/>
      <c r="D794" s="123"/>
      <c r="E794" s="32"/>
      <c r="F794"/>
      <c r="G794"/>
      <c r="H794"/>
      <c r="I794"/>
      <c r="J794"/>
      <c r="K794"/>
      <c r="L794"/>
      <c r="M794"/>
      <c r="N794"/>
      <c r="O794"/>
      <c r="P794"/>
      <c r="Q794"/>
      <c r="R794"/>
      <c r="S794"/>
      <c r="T794"/>
      <c r="U794"/>
      <c r="V794"/>
      <c r="W794"/>
      <c r="X794"/>
      <c r="Y794"/>
      <c r="Z794"/>
      <c r="AA794"/>
      <c r="AB794"/>
      <c r="AC794"/>
      <c r="AD794"/>
      <c r="AE794"/>
      <c r="AF794"/>
      <c r="AG794"/>
      <c r="AH794"/>
      <c r="AI794"/>
    </row>
    <row r="795" spans="1:35" s="33" customFormat="1" ht="15.75">
      <c r="A795" s="175"/>
      <c r="B795" s="163"/>
      <c r="C795" s="123"/>
      <c r="D795" s="123"/>
      <c r="E795" s="32"/>
      <c r="F795"/>
      <c r="G795"/>
      <c r="H795"/>
      <c r="I795"/>
      <c r="J795"/>
      <c r="K795"/>
      <c r="L795"/>
      <c r="M795"/>
      <c r="N795"/>
      <c r="O795"/>
      <c r="P795"/>
      <c r="Q795"/>
      <c r="R795"/>
      <c r="S795"/>
      <c r="T795"/>
      <c r="U795"/>
      <c r="V795"/>
      <c r="W795"/>
      <c r="X795"/>
      <c r="Y795"/>
      <c r="Z795"/>
      <c r="AA795"/>
      <c r="AB795"/>
      <c r="AC795"/>
      <c r="AD795"/>
      <c r="AE795"/>
      <c r="AF795"/>
      <c r="AG795"/>
      <c r="AH795"/>
      <c r="AI795"/>
    </row>
    <row r="796" spans="1:35" s="33" customFormat="1" ht="15.75">
      <c r="A796" s="175"/>
      <c r="B796" s="163"/>
      <c r="C796" s="123"/>
      <c r="D796" s="123"/>
      <c r="E796" s="32"/>
      <c r="F796"/>
      <c r="G796"/>
      <c r="H796"/>
      <c r="I796"/>
      <c r="J796"/>
      <c r="K796"/>
      <c r="L796"/>
      <c r="M796"/>
      <c r="N796"/>
      <c r="O796"/>
      <c r="P796"/>
      <c r="Q796"/>
      <c r="R796"/>
      <c r="S796"/>
      <c r="T796"/>
      <c r="U796"/>
      <c r="V796"/>
      <c r="W796"/>
      <c r="X796"/>
      <c r="Y796"/>
      <c r="Z796"/>
      <c r="AA796"/>
      <c r="AB796"/>
      <c r="AC796"/>
      <c r="AD796"/>
      <c r="AE796"/>
      <c r="AF796"/>
      <c r="AG796"/>
      <c r="AH796"/>
      <c r="AI796"/>
    </row>
    <row r="797" spans="1:35" s="33" customFormat="1" ht="15.75">
      <c r="A797" s="175"/>
      <c r="B797" s="163"/>
      <c r="C797" s="123"/>
      <c r="D797" s="123"/>
      <c r="E797" s="32"/>
      <c r="F797"/>
      <c r="G797"/>
      <c r="H797"/>
      <c r="I797"/>
      <c r="J797"/>
      <c r="K797"/>
      <c r="L797"/>
      <c r="M797"/>
      <c r="N797"/>
      <c r="O797"/>
      <c r="P797"/>
      <c r="Q797"/>
      <c r="R797"/>
      <c r="S797"/>
      <c r="T797"/>
      <c r="U797"/>
      <c r="V797"/>
      <c r="W797"/>
      <c r="X797"/>
      <c r="Y797"/>
      <c r="Z797"/>
      <c r="AA797"/>
      <c r="AB797"/>
      <c r="AC797"/>
      <c r="AD797"/>
      <c r="AE797"/>
      <c r="AF797"/>
      <c r="AG797"/>
      <c r="AH797"/>
      <c r="AI797"/>
    </row>
    <row r="798" spans="1:35" s="33" customFormat="1" ht="15.75">
      <c r="A798" s="175"/>
      <c r="B798" s="163"/>
      <c r="C798" s="123"/>
      <c r="D798" s="123"/>
      <c r="E798" s="32"/>
      <c r="F798"/>
      <c r="G798"/>
      <c r="H798"/>
      <c r="I798"/>
      <c r="J798"/>
      <c r="K798"/>
      <c r="L798"/>
      <c r="M798"/>
      <c r="N798"/>
      <c r="O798"/>
      <c r="P798"/>
      <c r="Q798"/>
      <c r="R798"/>
      <c r="S798"/>
      <c r="T798"/>
      <c r="U798"/>
      <c r="V798"/>
      <c r="W798"/>
      <c r="X798"/>
      <c r="Y798"/>
      <c r="Z798"/>
      <c r="AA798"/>
      <c r="AB798"/>
      <c r="AC798"/>
      <c r="AD798"/>
      <c r="AE798"/>
      <c r="AF798"/>
      <c r="AG798"/>
      <c r="AH798"/>
      <c r="AI798"/>
    </row>
    <row r="799" spans="1:35" s="33" customFormat="1" ht="15.75">
      <c r="A799" s="175"/>
      <c r="B799" s="163"/>
      <c r="C799" s="123"/>
      <c r="D799" s="123"/>
      <c r="E799" s="32"/>
      <c r="F799"/>
      <c r="G799"/>
      <c r="H799"/>
      <c r="I799"/>
      <c r="J799"/>
      <c r="K799"/>
      <c r="L799"/>
      <c r="M799"/>
      <c r="N799"/>
      <c r="O799"/>
      <c r="P799"/>
      <c r="Q799"/>
      <c r="R799"/>
      <c r="S799"/>
      <c r="T799"/>
      <c r="U799"/>
      <c r="V799"/>
      <c r="W799"/>
      <c r="X799"/>
      <c r="Y799"/>
      <c r="Z799"/>
      <c r="AA799"/>
      <c r="AB799"/>
      <c r="AC799"/>
      <c r="AD799"/>
      <c r="AE799"/>
      <c r="AF799"/>
      <c r="AG799"/>
      <c r="AH799"/>
      <c r="AI799"/>
    </row>
    <row r="800" spans="1:35" s="33" customFormat="1" ht="15.75">
      <c r="A800" s="175"/>
      <c r="B800" s="163"/>
      <c r="C800" s="123"/>
      <c r="D800" s="123"/>
      <c r="E800" s="32"/>
      <c r="F800"/>
      <c r="G800"/>
      <c r="H800"/>
      <c r="I800"/>
      <c r="J800"/>
      <c r="K800"/>
      <c r="L800"/>
      <c r="M800"/>
      <c r="N800"/>
      <c r="O800"/>
      <c r="P800"/>
      <c r="Q800"/>
      <c r="R800"/>
      <c r="S800"/>
      <c r="T800"/>
      <c r="U800"/>
      <c r="V800"/>
      <c r="W800"/>
      <c r="X800"/>
      <c r="Y800"/>
      <c r="Z800"/>
      <c r="AA800"/>
      <c r="AB800"/>
      <c r="AC800"/>
      <c r="AD800"/>
      <c r="AE800"/>
      <c r="AF800"/>
      <c r="AG800"/>
      <c r="AH800"/>
      <c r="AI800"/>
    </row>
    <row r="801" spans="1:35" s="33" customFormat="1" ht="15.75">
      <c r="A801" s="175"/>
      <c r="B801" s="163"/>
      <c r="C801" s="123"/>
      <c r="D801" s="123"/>
      <c r="E801" s="32"/>
      <c r="F801"/>
      <c r="G801"/>
      <c r="H801"/>
      <c r="I801"/>
      <c r="J801"/>
      <c r="K801"/>
      <c r="L801"/>
      <c r="M801"/>
      <c r="N801"/>
      <c r="O801"/>
      <c r="P801"/>
      <c r="Q801"/>
      <c r="R801"/>
      <c r="S801"/>
      <c r="T801"/>
      <c r="U801"/>
      <c r="V801"/>
      <c r="W801"/>
      <c r="X801"/>
      <c r="Y801"/>
      <c r="Z801"/>
      <c r="AA801"/>
      <c r="AB801"/>
      <c r="AC801"/>
      <c r="AD801"/>
      <c r="AE801"/>
      <c r="AF801"/>
      <c r="AG801"/>
      <c r="AH801"/>
      <c r="AI801"/>
    </row>
    <row r="802" spans="1:35" s="33" customFormat="1" ht="15.75">
      <c r="A802" s="175"/>
      <c r="B802" s="163"/>
      <c r="C802" s="123"/>
      <c r="D802" s="123"/>
      <c r="E802" s="32"/>
      <c r="F802"/>
      <c r="G802"/>
      <c r="H802"/>
      <c r="I802"/>
      <c r="J802"/>
      <c r="K802"/>
      <c r="L802"/>
      <c r="M802"/>
      <c r="N802"/>
      <c r="O802"/>
      <c r="P802"/>
      <c r="Q802"/>
      <c r="R802"/>
      <c r="S802"/>
      <c r="T802"/>
      <c r="U802"/>
      <c r="V802"/>
      <c r="W802"/>
      <c r="X802"/>
      <c r="Y802"/>
      <c r="Z802"/>
      <c r="AA802"/>
      <c r="AB802"/>
      <c r="AC802"/>
      <c r="AD802"/>
      <c r="AE802"/>
      <c r="AF802"/>
      <c r="AG802"/>
      <c r="AH802"/>
      <c r="AI802"/>
    </row>
    <row r="803" spans="1:35" s="33" customFormat="1" ht="15.75">
      <c r="A803" s="175"/>
      <c r="B803" s="163"/>
      <c r="C803" s="123"/>
      <c r="D803" s="123"/>
      <c r="E803" s="32"/>
      <c r="F803"/>
      <c r="G803"/>
      <c r="H803"/>
      <c r="I803"/>
      <c r="J803"/>
      <c r="K803"/>
      <c r="L803"/>
      <c r="M803"/>
      <c r="N803"/>
      <c r="O803"/>
      <c r="P803"/>
      <c r="Q803"/>
      <c r="R803"/>
      <c r="S803"/>
      <c r="T803"/>
      <c r="U803"/>
      <c r="V803"/>
      <c r="W803"/>
      <c r="X803"/>
      <c r="Y803"/>
      <c r="Z803"/>
      <c r="AA803"/>
      <c r="AB803"/>
      <c r="AC803"/>
      <c r="AD803"/>
      <c r="AE803"/>
      <c r="AF803"/>
      <c r="AG803"/>
      <c r="AH803"/>
      <c r="AI803"/>
    </row>
    <row r="804" spans="1:35" s="33" customFormat="1" ht="15.75">
      <c r="A804" s="175"/>
      <c r="B804" s="163"/>
      <c r="C804" s="123"/>
      <c r="D804" s="123"/>
      <c r="E804" s="32"/>
      <c r="F804"/>
      <c r="G804"/>
      <c r="H804"/>
      <c r="I804"/>
      <c r="J804"/>
      <c r="K804"/>
      <c r="L804"/>
      <c r="M804"/>
      <c r="N804"/>
      <c r="O804"/>
      <c r="P804"/>
      <c r="Q804"/>
      <c r="R804"/>
      <c r="S804"/>
      <c r="T804"/>
      <c r="U804"/>
      <c r="V804"/>
      <c r="W804"/>
      <c r="X804"/>
      <c r="Y804"/>
      <c r="Z804"/>
      <c r="AA804"/>
      <c r="AB804"/>
      <c r="AC804"/>
      <c r="AD804"/>
      <c r="AE804"/>
      <c r="AF804"/>
      <c r="AG804"/>
      <c r="AH804"/>
      <c r="AI804"/>
    </row>
    <row r="805" spans="1:35" s="33" customFormat="1" ht="15.75">
      <c r="A805" s="175"/>
      <c r="B805" s="163"/>
      <c r="C805" s="123"/>
      <c r="D805" s="123"/>
      <c r="E805" s="32"/>
      <c r="F805"/>
      <c r="G805"/>
      <c r="H805"/>
      <c r="I805"/>
      <c r="J805"/>
      <c r="K805"/>
      <c r="L805"/>
      <c r="M805"/>
      <c r="N805"/>
      <c r="O805"/>
      <c r="P805"/>
      <c r="Q805"/>
      <c r="R805"/>
      <c r="S805"/>
      <c r="T805"/>
      <c r="U805"/>
      <c r="V805"/>
      <c r="W805"/>
      <c r="X805"/>
      <c r="Y805"/>
      <c r="Z805"/>
      <c r="AA805"/>
      <c r="AB805"/>
      <c r="AC805"/>
      <c r="AD805"/>
      <c r="AE805"/>
      <c r="AF805"/>
      <c r="AG805"/>
      <c r="AH805"/>
      <c r="AI805"/>
    </row>
    <row r="806" spans="1:35" s="33" customFormat="1" ht="15.75">
      <c r="A806" s="175"/>
      <c r="B806" s="163"/>
      <c r="C806" s="123"/>
      <c r="D806" s="123"/>
      <c r="E806" s="32"/>
      <c r="F806"/>
      <c r="G806"/>
      <c r="H806"/>
      <c r="I806"/>
      <c r="J806"/>
      <c r="K806"/>
      <c r="L806"/>
      <c r="M806"/>
      <c r="N806"/>
      <c r="O806"/>
      <c r="P806"/>
      <c r="Q806"/>
      <c r="R806"/>
      <c r="S806"/>
      <c r="T806"/>
      <c r="U806"/>
      <c r="V806"/>
      <c r="W806"/>
      <c r="X806"/>
      <c r="Y806"/>
      <c r="Z806"/>
      <c r="AA806"/>
      <c r="AB806"/>
      <c r="AC806"/>
      <c r="AD806"/>
      <c r="AE806"/>
      <c r="AF806"/>
      <c r="AG806"/>
      <c r="AH806"/>
      <c r="AI806"/>
    </row>
    <row r="807" spans="1:35" s="33" customFormat="1" ht="15.75">
      <c r="A807" s="175"/>
      <c r="B807" s="163"/>
      <c r="C807" s="123"/>
      <c r="D807" s="123"/>
      <c r="E807" s="32"/>
      <c r="F807"/>
      <c r="G807"/>
      <c r="H807"/>
      <c r="I807"/>
      <c r="J807"/>
      <c r="K807"/>
      <c r="L807"/>
      <c r="M807"/>
      <c r="N807"/>
      <c r="O807"/>
      <c r="P807"/>
      <c r="Q807"/>
      <c r="R807"/>
      <c r="S807"/>
      <c r="T807"/>
      <c r="U807"/>
      <c r="V807"/>
      <c r="W807"/>
      <c r="X807"/>
      <c r="Y807"/>
      <c r="Z807"/>
      <c r="AA807"/>
      <c r="AB807"/>
      <c r="AC807"/>
      <c r="AD807"/>
      <c r="AE807"/>
      <c r="AF807"/>
      <c r="AG807"/>
      <c r="AH807"/>
      <c r="AI807"/>
    </row>
    <row r="808" spans="1:35" s="33" customFormat="1" ht="15.75">
      <c r="A808" s="175"/>
      <c r="B808" s="163"/>
      <c r="C808" s="123"/>
      <c r="D808" s="123"/>
      <c r="E808" s="32"/>
      <c r="F808"/>
      <c r="G808"/>
      <c r="H808"/>
      <c r="I808"/>
      <c r="J808"/>
      <c r="K808"/>
      <c r="L808"/>
      <c r="M808"/>
      <c r="N808"/>
      <c r="O808"/>
      <c r="P808"/>
      <c r="Q808"/>
      <c r="R808"/>
      <c r="S808"/>
      <c r="T808"/>
      <c r="U808"/>
      <c r="V808"/>
      <c r="W808"/>
      <c r="X808"/>
      <c r="Y808"/>
      <c r="Z808"/>
      <c r="AA808"/>
      <c r="AB808"/>
      <c r="AC808"/>
      <c r="AD808"/>
      <c r="AE808"/>
      <c r="AF808"/>
      <c r="AG808"/>
      <c r="AH808"/>
      <c r="AI808"/>
    </row>
    <row r="809" spans="1:35" s="33" customFormat="1" ht="15.75">
      <c r="A809" s="175"/>
      <c r="B809" s="163"/>
      <c r="C809" s="123"/>
      <c r="D809" s="123"/>
      <c r="E809" s="32"/>
      <c r="F809"/>
      <c r="G809"/>
      <c r="H809"/>
      <c r="I809"/>
      <c r="J809"/>
      <c r="K809"/>
      <c r="L809"/>
      <c r="M809"/>
      <c r="N809"/>
      <c r="O809"/>
      <c r="P809"/>
      <c r="Q809"/>
      <c r="R809"/>
      <c r="S809"/>
      <c r="T809"/>
      <c r="U809"/>
      <c r="V809"/>
      <c r="W809"/>
      <c r="X809"/>
      <c r="Y809"/>
      <c r="Z809"/>
      <c r="AA809"/>
      <c r="AB809"/>
      <c r="AC809"/>
      <c r="AD809"/>
      <c r="AE809"/>
      <c r="AF809"/>
      <c r="AG809"/>
      <c r="AH809"/>
      <c r="AI809"/>
    </row>
    <row r="810" spans="1:35" s="33" customFormat="1" ht="15.75">
      <c r="A810" s="175"/>
      <c r="B810" s="163"/>
      <c r="C810" s="123"/>
      <c r="D810" s="123"/>
      <c r="E810" s="32"/>
      <c r="F810"/>
      <c r="G810"/>
      <c r="H810"/>
      <c r="I810"/>
      <c r="J810"/>
      <c r="K810"/>
      <c r="L810"/>
      <c r="M810"/>
      <c r="N810"/>
      <c r="O810"/>
      <c r="P810"/>
      <c r="Q810"/>
      <c r="R810"/>
      <c r="S810"/>
      <c r="T810"/>
      <c r="U810"/>
      <c r="V810"/>
      <c r="W810"/>
      <c r="X810"/>
      <c r="Y810"/>
      <c r="Z810"/>
      <c r="AA810"/>
      <c r="AB810"/>
      <c r="AC810"/>
      <c r="AD810"/>
      <c r="AE810"/>
      <c r="AF810"/>
      <c r="AG810"/>
      <c r="AH810"/>
      <c r="AI810"/>
    </row>
    <row r="811" spans="1:35" s="33" customFormat="1" ht="15.75">
      <c r="A811" s="175"/>
      <c r="B811" s="163"/>
      <c r="C811" s="123"/>
      <c r="D811" s="123"/>
      <c r="E811" s="32"/>
      <c r="F811"/>
      <c r="G811"/>
      <c r="H811"/>
      <c r="I811"/>
      <c r="J811"/>
      <c r="K811"/>
      <c r="L811"/>
      <c r="M811"/>
      <c r="N811"/>
      <c r="O811"/>
      <c r="P811"/>
      <c r="Q811"/>
      <c r="R811"/>
      <c r="S811"/>
      <c r="T811"/>
      <c r="U811"/>
      <c r="V811"/>
      <c r="W811"/>
      <c r="X811"/>
      <c r="Y811"/>
      <c r="Z811"/>
      <c r="AA811"/>
      <c r="AB811"/>
      <c r="AC811"/>
      <c r="AD811"/>
      <c r="AE811"/>
      <c r="AF811"/>
      <c r="AG811"/>
      <c r="AH811"/>
      <c r="AI811"/>
    </row>
    <row r="812" spans="1:35" s="33" customFormat="1" ht="15.75">
      <c r="A812" s="175"/>
      <c r="B812" s="163"/>
      <c r="C812" s="123"/>
      <c r="D812" s="123"/>
      <c r="E812" s="32"/>
      <c r="F812"/>
      <c r="G812"/>
      <c r="H812"/>
      <c r="I812"/>
      <c r="J812"/>
      <c r="K812"/>
      <c r="L812"/>
      <c r="M812"/>
      <c r="N812"/>
      <c r="O812"/>
      <c r="P812"/>
      <c r="Q812"/>
      <c r="R812"/>
      <c r="S812"/>
      <c r="T812"/>
      <c r="U812"/>
      <c r="V812"/>
      <c r="W812"/>
      <c r="X812"/>
      <c r="Y812"/>
      <c r="Z812"/>
      <c r="AA812"/>
      <c r="AB812"/>
      <c r="AC812"/>
      <c r="AD812"/>
      <c r="AE812"/>
      <c r="AF812"/>
      <c r="AG812"/>
      <c r="AH812"/>
      <c r="AI812"/>
    </row>
    <row r="813" spans="1:35" s="33" customFormat="1" ht="15.75">
      <c r="A813" s="175"/>
      <c r="B813" s="163"/>
      <c r="C813" s="123"/>
      <c r="D813" s="123"/>
      <c r="E813" s="32"/>
      <c r="F813"/>
      <c r="G813"/>
      <c r="H813"/>
      <c r="I813"/>
      <c r="J813"/>
      <c r="K813"/>
      <c r="L813"/>
      <c r="M813"/>
      <c r="N813"/>
      <c r="O813"/>
      <c r="P813"/>
      <c r="Q813"/>
      <c r="R813"/>
      <c r="S813"/>
      <c r="T813"/>
      <c r="U813"/>
      <c r="V813"/>
      <c r="W813"/>
      <c r="X813"/>
      <c r="Y813"/>
      <c r="Z813"/>
      <c r="AA813"/>
      <c r="AB813"/>
      <c r="AC813"/>
      <c r="AD813"/>
      <c r="AE813"/>
      <c r="AF813"/>
      <c r="AG813"/>
      <c r="AH813"/>
      <c r="AI813"/>
    </row>
    <row r="814" spans="1:35" s="33" customFormat="1" ht="15.75">
      <c r="A814" s="175"/>
      <c r="B814" s="163"/>
      <c r="C814" s="123"/>
      <c r="D814" s="123"/>
      <c r="E814" s="32"/>
      <c r="F814"/>
      <c r="G814"/>
      <c r="H814"/>
      <c r="I814"/>
      <c r="J814"/>
      <c r="K814"/>
      <c r="L814"/>
      <c r="M814"/>
      <c r="N814"/>
      <c r="O814"/>
      <c r="P814"/>
      <c r="Q814"/>
      <c r="R814"/>
      <c r="S814"/>
      <c r="T814"/>
      <c r="U814"/>
      <c r="V814"/>
      <c r="W814"/>
      <c r="X814"/>
      <c r="Y814"/>
      <c r="Z814"/>
      <c r="AA814"/>
      <c r="AB814"/>
      <c r="AC814"/>
      <c r="AD814"/>
      <c r="AE814"/>
      <c r="AF814"/>
      <c r="AG814"/>
      <c r="AH814"/>
      <c r="AI814"/>
    </row>
    <row r="815" spans="1:35" s="33" customFormat="1" ht="15.75">
      <c r="A815" s="175"/>
      <c r="B815" s="163"/>
      <c r="C815" s="123"/>
      <c r="D815" s="123"/>
      <c r="E815" s="32"/>
      <c r="F815"/>
      <c r="G815"/>
      <c r="H815"/>
      <c r="I815"/>
      <c r="J815"/>
      <c r="K815"/>
      <c r="L815"/>
      <c r="M815"/>
      <c r="N815"/>
      <c r="O815"/>
      <c r="P815"/>
      <c r="Q815"/>
      <c r="R815"/>
      <c r="S815"/>
      <c r="T815"/>
      <c r="U815"/>
      <c r="V815"/>
      <c r="W815"/>
      <c r="X815"/>
      <c r="Y815"/>
      <c r="Z815"/>
      <c r="AA815"/>
      <c r="AB815"/>
      <c r="AC815"/>
      <c r="AD815"/>
      <c r="AE815"/>
      <c r="AF815"/>
      <c r="AG815"/>
      <c r="AH815"/>
      <c r="AI815"/>
    </row>
    <row r="816" spans="1:35" s="33" customFormat="1" ht="15.75">
      <c r="A816" s="175"/>
      <c r="B816" s="163"/>
      <c r="C816" s="123"/>
      <c r="D816" s="123"/>
      <c r="E816" s="32"/>
      <c r="F816"/>
      <c r="G816"/>
      <c r="H816"/>
      <c r="I816"/>
      <c r="J816"/>
      <c r="K816"/>
      <c r="L816"/>
      <c r="M816"/>
      <c r="N816"/>
      <c r="O816"/>
      <c r="P816"/>
      <c r="Q816"/>
      <c r="R816"/>
      <c r="S816"/>
      <c r="T816"/>
      <c r="U816"/>
      <c r="V816"/>
      <c r="W816"/>
      <c r="X816"/>
      <c r="Y816"/>
      <c r="Z816"/>
      <c r="AA816"/>
      <c r="AB816"/>
      <c r="AC816"/>
      <c r="AD816"/>
      <c r="AE816"/>
      <c r="AF816"/>
      <c r="AG816"/>
      <c r="AH816"/>
      <c r="AI816"/>
    </row>
    <row r="817" spans="1:35" s="33" customFormat="1" ht="15.75">
      <c r="A817" s="175"/>
      <c r="B817" s="163"/>
      <c r="C817" s="123"/>
      <c r="D817" s="123"/>
      <c r="E817" s="32"/>
      <c r="F817"/>
      <c r="G817"/>
      <c r="H817"/>
      <c r="I817"/>
      <c r="J817"/>
      <c r="K817"/>
      <c r="L817"/>
      <c r="M817"/>
      <c r="N817"/>
      <c r="O817"/>
      <c r="P817"/>
      <c r="Q817"/>
      <c r="R817"/>
      <c r="S817"/>
      <c r="T817"/>
      <c r="U817"/>
      <c r="V817"/>
      <c r="W817"/>
      <c r="X817"/>
      <c r="Y817"/>
      <c r="Z817"/>
      <c r="AA817"/>
      <c r="AB817"/>
      <c r="AC817"/>
      <c r="AD817"/>
      <c r="AE817"/>
      <c r="AF817"/>
      <c r="AG817"/>
      <c r="AH817"/>
      <c r="AI817"/>
    </row>
    <row r="818" spans="1:35" s="33" customFormat="1" ht="15.75">
      <c r="A818" s="175"/>
      <c r="B818" s="163"/>
      <c r="C818" s="123"/>
      <c r="D818" s="123"/>
      <c r="E818" s="32"/>
      <c r="F818"/>
      <c r="G818"/>
      <c r="H818"/>
      <c r="I818"/>
      <c r="J818"/>
      <c r="K818"/>
      <c r="L818"/>
      <c r="M818"/>
      <c r="N818"/>
      <c r="O818"/>
      <c r="P818"/>
      <c r="Q818"/>
      <c r="R818"/>
      <c r="S818"/>
      <c r="T818"/>
      <c r="U818"/>
      <c r="V818"/>
      <c r="W818"/>
      <c r="X818"/>
      <c r="Y818"/>
      <c r="Z818"/>
      <c r="AA818"/>
      <c r="AB818"/>
      <c r="AC818"/>
      <c r="AD818"/>
      <c r="AE818"/>
      <c r="AF818"/>
      <c r="AG818"/>
      <c r="AH818"/>
      <c r="AI818"/>
    </row>
    <row r="819" spans="1:35" s="33" customFormat="1" ht="15.75">
      <c r="A819" s="175"/>
      <c r="B819" s="163"/>
      <c r="C819" s="123"/>
      <c r="D819" s="123"/>
      <c r="E819" s="32"/>
      <c r="F819"/>
      <c r="G819"/>
      <c r="H819"/>
      <c r="I819"/>
      <c r="J819"/>
      <c r="K819"/>
      <c r="L819"/>
      <c r="M819"/>
      <c r="N819"/>
      <c r="O819"/>
      <c r="P819"/>
      <c r="Q819"/>
      <c r="R819"/>
      <c r="S819"/>
      <c r="T819"/>
      <c r="U819"/>
      <c r="V819"/>
      <c r="W819"/>
      <c r="X819"/>
      <c r="Y819"/>
      <c r="Z819"/>
      <c r="AA819"/>
      <c r="AB819"/>
      <c r="AC819"/>
      <c r="AD819"/>
      <c r="AE819"/>
      <c r="AF819"/>
      <c r="AG819"/>
      <c r="AH819"/>
      <c r="AI819"/>
    </row>
    <row r="820" spans="1:35" s="33" customFormat="1" ht="15.75">
      <c r="A820" s="175"/>
      <c r="B820" s="163"/>
      <c r="C820" s="123"/>
      <c r="D820" s="123"/>
      <c r="E820" s="32"/>
      <c r="F820"/>
      <c r="G820"/>
      <c r="H820"/>
      <c r="I820"/>
      <c r="J820"/>
      <c r="K820"/>
      <c r="L820"/>
      <c r="M820"/>
      <c r="N820"/>
      <c r="O820"/>
      <c r="P820"/>
      <c r="Q820"/>
      <c r="R820"/>
      <c r="S820"/>
      <c r="T820"/>
      <c r="U820"/>
      <c r="V820"/>
      <c r="W820"/>
      <c r="X820"/>
      <c r="Y820"/>
      <c r="Z820"/>
      <c r="AA820"/>
      <c r="AB820"/>
      <c r="AC820"/>
      <c r="AD820"/>
      <c r="AE820"/>
      <c r="AF820"/>
      <c r="AG820"/>
      <c r="AH820"/>
      <c r="AI820"/>
    </row>
    <row r="821" spans="1:35" s="33" customFormat="1" ht="15.75">
      <c r="A821" s="175"/>
      <c r="B821" s="163"/>
      <c r="C821" s="123"/>
      <c r="D821" s="123"/>
      <c r="E821" s="32"/>
      <c r="F821"/>
      <c r="G821"/>
      <c r="H821"/>
      <c r="I821"/>
      <c r="J821"/>
      <c r="K821"/>
      <c r="L821"/>
      <c r="M821"/>
      <c r="N821"/>
      <c r="O821"/>
      <c r="P821"/>
      <c r="Q821"/>
      <c r="R821"/>
      <c r="S821"/>
      <c r="T821"/>
      <c r="U821"/>
      <c r="V821"/>
      <c r="W821"/>
      <c r="X821"/>
      <c r="Y821"/>
      <c r="Z821"/>
      <c r="AA821"/>
      <c r="AB821"/>
      <c r="AC821"/>
      <c r="AD821"/>
      <c r="AE821"/>
      <c r="AF821"/>
      <c r="AG821"/>
      <c r="AH821"/>
      <c r="AI821"/>
    </row>
    <row r="822" spans="1:35" s="33" customFormat="1" ht="15.75">
      <c r="A822" s="175"/>
      <c r="B822" s="163"/>
      <c r="C822" s="123"/>
      <c r="D822" s="123"/>
      <c r="E822" s="32"/>
      <c r="F822"/>
      <c r="G822"/>
      <c r="H822"/>
      <c r="I822"/>
      <c r="J822"/>
      <c r="K822"/>
      <c r="L822"/>
      <c r="M822"/>
      <c r="N822"/>
      <c r="O822"/>
      <c r="P822"/>
      <c r="Q822"/>
      <c r="R822"/>
      <c r="S822"/>
      <c r="T822"/>
      <c r="U822"/>
      <c r="V822"/>
      <c r="W822"/>
      <c r="X822"/>
      <c r="Y822"/>
      <c r="Z822"/>
      <c r="AA822"/>
      <c r="AB822"/>
      <c r="AC822"/>
      <c r="AD822"/>
      <c r="AE822"/>
      <c r="AF822"/>
      <c r="AG822"/>
      <c r="AH822"/>
      <c r="AI822"/>
    </row>
    <row r="823" spans="1:35" s="33" customFormat="1" ht="15.75">
      <c r="A823" s="175"/>
      <c r="B823" s="163"/>
      <c r="C823" s="123"/>
      <c r="D823" s="123"/>
      <c r="E823" s="32"/>
      <c r="F823"/>
      <c r="G823"/>
      <c r="H823"/>
      <c r="I823"/>
      <c r="J823"/>
      <c r="K823"/>
      <c r="L823"/>
      <c r="M823"/>
      <c r="N823"/>
      <c r="O823"/>
      <c r="P823"/>
      <c r="Q823"/>
      <c r="R823"/>
      <c r="S823"/>
      <c r="T823"/>
      <c r="U823"/>
      <c r="V823"/>
      <c r="W823"/>
      <c r="X823"/>
      <c r="Y823"/>
      <c r="Z823"/>
      <c r="AA823"/>
      <c r="AB823"/>
      <c r="AC823"/>
      <c r="AD823"/>
      <c r="AE823"/>
      <c r="AF823"/>
      <c r="AG823"/>
      <c r="AH823"/>
      <c r="AI823"/>
    </row>
    <row r="824" spans="1:35" s="33" customFormat="1" ht="15.75">
      <c r="A824" s="175"/>
      <c r="B824" s="163"/>
      <c r="C824" s="123"/>
      <c r="D824" s="123"/>
      <c r="E824" s="32"/>
      <c r="F824"/>
      <c r="G824"/>
      <c r="H824"/>
      <c r="I824"/>
      <c r="J824"/>
      <c r="K824"/>
      <c r="L824"/>
      <c r="M824"/>
      <c r="N824"/>
      <c r="O824"/>
      <c r="P824"/>
      <c r="Q824"/>
      <c r="R824"/>
      <c r="S824"/>
      <c r="T824"/>
      <c r="U824"/>
      <c r="V824"/>
      <c r="W824"/>
      <c r="X824"/>
      <c r="Y824"/>
      <c r="Z824"/>
      <c r="AA824"/>
      <c r="AB824"/>
      <c r="AC824"/>
      <c r="AD824"/>
      <c r="AE824"/>
      <c r="AF824"/>
      <c r="AG824"/>
      <c r="AH824"/>
      <c r="AI824"/>
    </row>
    <row r="825" spans="1:35" s="33" customFormat="1" ht="15.75">
      <c r="A825" s="175"/>
      <c r="B825" s="163"/>
      <c r="C825" s="123"/>
      <c r="D825" s="123"/>
      <c r="E825" s="32"/>
      <c r="F825"/>
      <c r="G825"/>
      <c r="H825"/>
      <c r="I825"/>
      <c r="J825"/>
      <c r="K825"/>
      <c r="L825"/>
      <c r="M825"/>
      <c r="N825"/>
      <c r="O825"/>
      <c r="P825"/>
      <c r="Q825"/>
      <c r="R825"/>
      <c r="S825"/>
      <c r="T825"/>
      <c r="U825"/>
      <c r="V825"/>
      <c r="W825"/>
      <c r="X825"/>
      <c r="Y825"/>
      <c r="Z825"/>
      <c r="AA825"/>
      <c r="AB825"/>
      <c r="AC825"/>
      <c r="AD825"/>
      <c r="AE825"/>
      <c r="AF825"/>
      <c r="AG825"/>
      <c r="AH825"/>
      <c r="AI825"/>
    </row>
    <row r="826" spans="1:35" s="33" customFormat="1" ht="15.75">
      <c r="A826" s="175"/>
      <c r="B826" s="163"/>
      <c r="C826" s="123"/>
      <c r="D826" s="123"/>
      <c r="E826" s="32"/>
      <c r="F826"/>
      <c r="G826"/>
      <c r="H826"/>
      <c r="I826"/>
      <c r="J826"/>
      <c r="K826"/>
      <c r="L826"/>
      <c r="M826"/>
      <c r="N826"/>
      <c r="O826"/>
      <c r="P826"/>
      <c r="Q826"/>
      <c r="R826"/>
      <c r="S826"/>
      <c r="T826"/>
      <c r="U826"/>
      <c r="V826"/>
      <c r="W826"/>
      <c r="X826"/>
      <c r="Y826"/>
      <c r="Z826"/>
      <c r="AA826"/>
      <c r="AB826"/>
      <c r="AC826"/>
      <c r="AD826"/>
      <c r="AE826"/>
      <c r="AF826"/>
      <c r="AG826"/>
      <c r="AH826"/>
      <c r="AI826"/>
    </row>
    <row r="827" spans="1:35" s="33" customFormat="1" ht="15.75">
      <c r="A827" s="175"/>
      <c r="B827" s="163"/>
      <c r="C827" s="123"/>
      <c r="D827" s="123"/>
      <c r="E827" s="32"/>
      <c r="F827"/>
      <c r="G827"/>
      <c r="H827"/>
      <c r="I827"/>
      <c r="J827"/>
      <c r="K827"/>
      <c r="L827"/>
      <c r="M827"/>
      <c r="N827"/>
      <c r="O827"/>
      <c r="P827"/>
      <c r="Q827"/>
      <c r="R827"/>
      <c r="S827"/>
      <c r="T827"/>
      <c r="U827"/>
      <c r="V827"/>
      <c r="W827"/>
      <c r="X827"/>
      <c r="Y827"/>
      <c r="Z827"/>
      <c r="AA827"/>
      <c r="AB827"/>
      <c r="AC827"/>
      <c r="AD827"/>
      <c r="AE827"/>
      <c r="AF827"/>
      <c r="AG827"/>
      <c r="AH827"/>
      <c r="AI827"/>
    </row>
    <row r="828" spans="1:35" s="33" customFormat="1" ht="15.75">
      <c r="A828" s="175"/>
      <c r="B828" s="163"/>
      <c r="C828" s="123"/>
      <c r="D828" s="123"/>
      <c r="E828" s="32"/>
      <c r="F828"/>
      <c r="G828"/>
      <c r="H828"/>
      <c r="I828"/>
      <c r="J828"/>
      <c r="K828"/>
      <c r="L828"/>
      <c r="M828"/>
      <c r="N828"/>
      <c r="O828"/>
      <c r="P828"/>
      <c r="Q828"/>
      <c r="R828"/>
      <c r="S828"/>
      <c r="T828"/>
      <c r="U828"/>
      <c r="V828"/>
      <c r="W828"/>
      <c r="X828"/>
      <c r="Y828"/>
      <c r="Z828"/>
      <c r="AA828"/>
      <c r="AB828"/>
      <c r="AC828"/>
      <c r="AD828"/>
      <c r="AE828"/>
      <c r="AF828"/>
      <c r="AG828"/>
      <c r="AH828"/>
      <c r="AI828"/>
    </row>
    <row r="829" spans="1:35" s="33" customFormat="1" ht="15.75">
      <c r="A829" s="175"/>
      <c r="B829" s="163"/>
      <c r="C829" s="123"/>
      <c r="D829" s="123"/>
      <c r="E829" s="32"/>
      <c r="F829"/>
      <c r="G829"/>
      <c r="H829"/>
      <c r="I829"/>
      <c r="J829"/>
      <c r="K829"/>
      <c r="L829"/>
      <c r="M829"/>
      <c r="N829"/>
      <c r="O829"/>
      <c r="P829"/>
      <c r="Q829"/>
      <c r="R829"/>
      <c r="S829"/>
      <c r="T829"/>
      <c r="U829"/>
      <c r="V829"/>
      <c r="W829"/>
      <c r="X829"/>
      <c r="Y829"/>
      <c r="Z829"/>
      <c r="AA829"/>
      <c r="AB829"/>
      <c r="AC829"/>
      <c r="AD829"/>
      <c r="AE829"/>
      <c r="AF829"/>
      <c r="AG829"/>
      <c r="AH829"/>
      <c r="AI829"/>
    </row>
    <row r="830" spans="1:35" s="33" customFormat="1" ht="15.75">
      <c r="A830" s="175"/>
      <c r="B830" s="163"/>
      <c r="C830" s="123"/>
      <c r="D830" s="123"/>
      <c r="E830" s="32"/>
      <c r="F830"/>
      <c r="G830"/>
      <c r="H830"/>
      <c r="I830"/>
      <c r="J830"/>
      <c r="K830"/>
      <c r="L830"/>
      <c r="M830"/>
      <c r="N830"/>
      <c r="O830"/>
      <c r="P830"/>
      <c r="Q830"/>
      <c r="R830"/>
      <c r="S830"/>
      <c r="T830"/>
      <c r="U830"/>
      <c r="V830"/>
      <c r="W830"/>
      <c r="X830"/>
      <c r="Y830"/>
      <c r="Z830"/>
      <c r="AA830"/>
      <c r="AB830"/>
      <c r="AC830"/>
      <c r="AD830"/>
      <c r="AE830"/>
      <c r="AF830"/>
      <c r="AG830"/>
      <c r="AH830"/>
      <c r="AI830"/>
    </row>
    <row r="831" spans="1:35" s="33" customFormat="1" ht="15.75">
      <c r="A831" s="175"/>
      <c r="B831" s="163"/>
      <c r="C831" s="123"/>
      <c r="D831" s="123"/>
      <c r="E831" s="32"/>
      <c r="F831"/>
      <c r="G831"/>
      <c r="H831"/>
      <c r="I831"/>
      <c r="J831"/>
      <c r="K831"/>
      <c r="L831"/>
      <c r="M831"/>
      <c r="N831"/>
      <c r="O831"/>
      <c r="P831"/>
      <c r="Q831"/>
      <c r="R831"/>
      <c r="S831"/>
      <c r="T831"/>
      <c r="U831"/>
      <c r="V831"/>
      <c r="W831"/>
      <c r="X831"/>
      <c r="Y831"/>
      <c r="Z831"/>
      <c r="AA831"/>
      <c r="AB831"/>
      <c r="AC831"/>
      <c r="AD831"/>
      <c r="AE831"/>
      <c r="AF831"/>
      <c r="AG831"/>
      <c r="AH831"/>
      <c r="AI831"/>
    </row>
    <row r="832" spans="1:35" s="33" customFormat="1" ht="15.75">
      <c r="A832" s="175"/>
      <c r="B832" s="163"/>
      <c r="C832" s="123"/>
      <c r="D832" s="123"/>
      <c r="E832" s="32"/>
      <c r="F832"/>
      <c r="G832"/>
      <c r="H832"/>
      <c r="I832"/>
      <c r="J832"/>
      <c r="K832"/>
      <c r="L832"/>
      <c r="M832"/>
      <c r="N832"/>
      <c r="O832"/>
      <c r="P832"/>
      <c r="Q832"/>
      <c r="R832"/>
      <c r="S832"/>
      <c r="T832"/>
      <c r="U832"/>
      <c r="V832"/>
      <c r="W832"/>
      <c r="X832"/>
      <c r="Y832"/>
      <c r="Z832"/>
      <c r="AA832"/>
      <c r="AB832"/>
      <c r="AC832"/>
      <c r="AD832"/>
      <c r="AE832"/>
      <c r="AF832"/>
      <c r="AG832"/>
      <c r="AH832"/>
      <c r="AI832"/>
    </row>
    <row r="833" spans="1:35" s="33" customFormat="1" ht="15.75">
      <c r="A833" s="175"/>
      <c r="B833" s="163"/>
      <c r="C833" s="123"/>
      <c r="D833" s="123"/>
      <c r="E833" s="32"/>
      <c r="F833"/>
      <c r="G833"/>
      <c r="H833"/>
      <c r="I833"/>
      <c r="J833"/>
      <c r="K833"/>
      <c r="L833"/>
      <c r="M833"/>
      <c r="N833"/>
      <c r="O833"/>
      <c r="P833"/>
      <c r="Q833"/>
      <c r="R833"/>
      <c r="S833"/>
      <c r="T833"/>
      <c r="U833"/>
      <c r="V833"/>
      <c r="W833"/>
      <c r="X833"/>
      <c r="Y833"/>
      <c r="Z833"/>
      <c r="AA833"/>
      <c r="AB833"/>
      <c r="AC833"/>
      <c r="AD833"/>
      <c r="AE833"/>
      <c r="AF833"/>
      <c r="AG833"/>
      <c r="AH833"/>
      <c r="AI833"/>
    </row>
    <row r="834" spans="1:35" s="33" customFormat="1" ht="15.75">
      <c r="A834" s="175"/>
      <c r="B834" s="163"/>
      <c r="C834" s="123"/>
      <c r="D834" s="123"/>
      <c r="E834" s="32"/>
      <c r="F834"/>
      <c r="G834"/>
      <c r="H834"/>
      <c r="I834"/>
      <c r="J834"/>
      <c r="K834"/>
      <c r="L834"/>
      <c r="M834"/>
      <c r="N834"/>
      <c r="O834"/>
      <c r="P834"/>
      <c r="Q834"/>
      <c r="R834"/>
      <c r="S834"/>
      <c r="T834"/>
      <c r="U834"/>
      <c r="V834"/>
      <c r="W834"/>
      <c r="X834"/>
      <c r="Y834"/>
      <c r="Z834"/>
      <c r="AA834"/>
      <c r="AB834"/>
      <c r="AC834"/>
      <c r="AD834"/>
      <c r="AE834"/>
      <c r="AF834"/>
      <c r="AG834"/>
      <c r="AH834"/>
      <c r="AI834"/>
    </row>
    <row r="835" spans="1:35" s="33" customFormat="1" ht="15.75">
      <c r="A835" s="175"/>
      <c r="B835" s="163"/>
      <c r="C835" s="123"/>
      <c r="D835" s="123"/>
      <c r="E835" s="32"/>
      <c r="F835"/>
      <c r="G835"/>
      <c r="H835"/>
      <c r="I835"/>
      <c r="J835"/>
      <c r="K835"/>
      <c r="L835"/>
      <c r="M835"/>
      <c r="N835"/>
      <c r="O835"/>
      <c r="P835"/>
      <c r="Q835"/>
      <c r="R835"/>
      <c r="S835"/>
      <c r="T835"/>
      <c r="U835"/>
      <c r="V835"/>
      <c r="W835"/>
      <c r="X835"/>
      <c r="Y835"/>
      <c r="Z835"/>
      <c r="AA835"/>
      <c r="AB835"/>
      <c r="AC835"/>
      <c r="AD835"/>
      <c r="AE835"/>
      <c r="AF835"/>
      <c r="AG835"/>
      <c r="AH835"/>
      <c r="AI835"/>
    </row>
    <row r="836" spans="1:35" s="33" customFormat="1" ht="15.75">
      <c r="A836" s="175"/>
      <c r="B836" s="163"/>
      <c r="C836" s="123"/>
      <c r="D836" s="123"/>
      <c r="E836" s="32"/>
      <c r="F836"/>
      <c r="G836"/>
      <c r="H836"/>
      <c r="I836"/>
      <c r="J836"/>
      <c r="K836"/>
      <c r="L836"/>
      <c r="M836"/>
      <c r="N836"/>
      <c r="O836"/>
      <c r="P836"/>
      <c r="Q836"/>
      <c r="R836"/>
      <c r="S836"/>
      <c r="T836"/>
      <c r="U836"/>
      <c r="V836"/>
      <c r="W836"/>
      <c r="X836"/>
      <c r="Y836"/>
      <c r="Z836"/>
      <c r="AA836"/>
      <c r="AB836"/>
      <c r="AC836"/>
      <c r="AD836"/>
      <c r="AE836"/>
      <c r="AF836"/>
      <c r="AG836"/>
      <c r="AH836"/>
      <c r="AI836"/>
    </row>
    <row r="837" spans="1:35" s="33" customFormat="1" ht="15.75">
      <c r="A837" s="175"/>
      <c r="B837" s="163"/>
      <c r="C837" s="123"/>
      <c r="D837" s="123"/>
      <c r="E837" s="32"/>
      <c r="F837"/>
      <c r="G837"/>
      <c r="H837"/>
      <c r="I837"/>
      <c r="J837"/>
      <c r="K837"/>
      <c r="L837"/>
      <c r="M837"/>
      <c r="N837"/>
      <c r="O837"/>
      <c r="P837"/>
      <c r="Q837"/>
      <c r="R837"/>
      <c r="S837"/>
      <c r="T837"/>
      <c r="U837"/>
      <c r="V837"/>
      <c r="W837"/>
      <c r="X837"/>
      <c r="Y837"/>
      <c r="Z837"/>
      <c r="AA837"/>
      <c r="AB837"/>
      <c r="AC837"/>
      <c r="AD837"/>
      <c r="AE837"/>
      <c r="AF837"/>
      <c r="AG837"/>
      <c r="AH837"/>
      <c r="AI837"/>
    </row>
    <row r="838" spans="1:35" s="33" customFormat="1" ht="15.75">
      <c r="A838" s="175"/>
      <c r="B838" s="163"/>
      <c r="C838" s="123"/>
      <c r="D838" s="123"/>
      <c r="E838" s="32"/>
      <c r="F838"/>
      <c r="G838"/>
      <c r="H838"/>
      <c r="I838"/>
      <c r="J838"/>
      <c r="K838"/>
      <c r="L838"/>
      <c r="M838"/>
      <c r="N838"/>
      <c r="O838"/>
      <c r="P838"/>
      <c r="Q838"/>
      <c r="R838"/>
      <c r="S838"/>
      <c r="T838"/>
      <c r="U838"/>
      <c r="V838"/>
      <c r="W838"/>
      <c r="X838"/>
      <c r="Y838"/>
      <c r="Z838"/>
      <c r="AA838"/>
      <c r="AB838"/>
      <c r="AC838"/>
      <c r="AD838"/>
      <c r="AE838"/>
      <c r="AF838"/>
      <c r="AG838"/>
      <c r="AH838"/>
      <c r="AI838"/>
    </row>
    <row r="839" spans="1:35" s="33" customFormat="1" ht="15.75">
      <c r="A839" s="175"/>
      <c r="B839" s="163"/>
      <c r="C839" s="123"/>
      <c r="D839" s="123"/>
      <c r="E839" s="32"/>
      <c r="F839"/>
      <c r="G839"/>
      <c r="H839"/>
      <c r="I839"/>
      <c r="J839"/>
      <c r="K839"/>
      <c r="L839"/>
      <c r="M839"/>
      <c r="N839"/>
      <c r="O839"/>
      <c r="P839"/>
      <c r="Q839"/>
      <c r="R839"/>
      <c r="S839"/>
      <c r="T839"/>
      <c r="U839"/>
      <c r="V839"/>
      <c r="W839"/>
      <c r="X839"/>
      <c r="Y839"/>
      <c r="Z839"/>
      <c r="AA839"/>
      <c r="AB839"/>
      <c r="AC839"/>
      <c r="AD839"/>
      <c r="AE839"/>
      <c r="AF839"/>
      <c r="AG839"/>
      <c r="AH839"/>
      <c r="AI839"/>
    </row>
    <row r="840" spans="1:35" s="33" customFormat="1" ht="15.75">
      <c r="A840" s="175"/>
      <c r="B840" s="163"/>
      <c r="C840" s="123"/>
      <c r="D840" s="123"/>
      <c r="E840" s="32"/>
      <c r="F840"/>
      <c r="G840"/>
      <c r="H840"/>
      <c r="I840"/>
      <c r="J840"/>
      <c r="K840"/>
      <c r="L840"/>
      <c r="M840"/>
      <c r="N840"/>
      <c r="O840"/>
      <c r="P840"/>
      <c r="Q840"/>
      <c r="R840"/>
      <c r="S840"/>
      <c r="T840"/>
      <c r="U840"/>
      <c r="V840"/>
      <c r="W840"/>
      <c r="X840"/>
      <c r="Y840"/>
      <c r="Z840"/>
      <c r="AA840"/>
      <c r="AB840"/>
      <c r="AC840"/>
      <c r="AD840"/>
      <c r="AE840"/>
      <c r="AF840"/>
      <c r="AG840"/>
      <c r="AH840"/>
      <c r="AI840"/>
    </row>
    <row r="841" spans="1:35" s="33" customFormat="1" ht="15.75">
      <c r="A841" s="175"/>
      <c r="B841" s="163"/>
      <c r="C841" s="123"/>
      <c r="D841" s="123"/>
      <c r="E841" s="32"/>
      <c r="F841"/>
      <c r="G841"/>
      <c r="H841"/>
      <c r="I841"/>
      <c r="J841"/>
      <c r="K841"/>
      <c r="L841"/>
      <c r="M841"/>
      <c r="N841"/>
      <c r="O841"/>
      <c r="P841"/>
      <c r="Q841"/>
      <c r="R841"/>
      <c r="S841"/>
      <c r="T841"/>
      <c r="U841"/>
      <c r="V841"/>
      <c r="W841"/>
      <c r="X841"/>
      <c r="Y841"/>
      <c r="Z841"/>
      <c r="AA841"/>
      <c r="AB841"/>
      <c r="AC841"/>
      <c r="AD841"/>
      <c r="AE841"/>
      <c r="AF841"/>
      <c r="AG841"/>
      <c r="AH841"/>
      <c r="AI841"/>
    </row>
    <row r="842" spans="1:35" s="33" customFormat="1" ht="15.75">
      <c r="A842" s="175"/>
      <c r="B842" s="163"/>
      <c r="C842" s="123"/>
      <c r="D842" s="123"/>
      <c r="E842" s="32"/>
      <c r="F842"/>
      <c r="G842"/>
      <c r="H842"/>
      <c r="I842"/>
      <c r="J842"/>
      <c r="K842"/>
      <c r="L842"/>
      <c r="M842"/>
      <c r="N842"/>
      <c r="O842"/>
      <c r="P842"/>
      <c r="Q842"/>
      <c r="R842"/>
      <c r="S842"/>
      <c r="T842"/>
      <c r="U842"/>
      <c r="V842"/>
      <c r="W842"/>
      <c r="X842"/>
      <c r="Y842"/>
      <c r="Z842"/>
      <c r="AA842"/>
      <c r="AB842"/>
      <c r="AC842"/>
      <c r="AD842"/>
      <c r="AE842"/>
      <c r="AF842"/>
      <c r="AG842"/>
      <c r="AH842"/>
      <c r="AI842"/>
    </row>
    <row r="843" spans="1:35" s="33" customFormat="1" ht="15.75">
      <c r="A843" s="175"/>
      <c r="B843" s="163"/>
      <c r="C843" s="123"/>
      <c r="D843" s="123"/>
      <c r="E843" s="32"/>
      <c r="F843"/>
      <c r="G843"/>
      <c r="H843"/>
      <c r="I843"/>
      <c r="J843"/>
      <c r="K843"/>
      <c r="L843"/>
      <c r="M843"/>
      <c r="N843"/>
      <c r="O843"/>
      <c r="P843"/>
      <c r="Q843"/>
      <c r="R843"/>
      <c r="S843"/>
      <c r="T843"/>
      <c r="U843"/>
      <c r="V843"/>
      <c r="W843"/>
      <c r="X843"/>
      <c r="Y843"/>
      <c r="Z843"/>
      <c r="AA843"/>
      <c r="AB843"/>
      <c r="AC843"/>
      <c r="AD843"/>
      <c r="AE843"/>
      <c r="AF843"/>
      <c r="AG843"/>
      <c r="AH843"/>
      <c r="AI843"/>
    </row>
    <row r="844" spans="1:35" s="33" customFormat="1" ht="15.75">
      <c r="A844" s="175"/>
      <c r="B844" s="163"/>
      <c r="C844" s="123"/>
      <c r="D844" s="123"/>
      <c r="E844" s="32"/>
      <c r="F844"/>
      <c r="G844"/>
      <c r="H844"/>
      <c r="I844"/>
      <c r="J844"/>
      <c r="K844"/>
      <c r="L844"/>
      <c r="M844"/>
      <c r="N844"/>
      <c r="O844"/>
      <c r="P844"/>
      <c r="Q844"/>
      <c r="R844"/>
      <c r="S844"/>
      <c r="T844"/>
      <c r="U844"/>
      <c r="V844"/>
      <c r="W844"/>
      <c r="X844"/>
      <c r="Y844"/>
      <c r="Z844"/>
      <c r="AA844"/>
      <c r="AB844"/>
      <c r="AC844"/>
      <c r="AD844"/>
      <c r="AE844"/>
      <c r="AF844"/>
      <c r="AG844"/>
      <c r="AH844"/>
      <c r="AI844"/>
    </row>
    <row r="845" spans="1:35" s="33" customFormat="1" ht="15.75">
      <c r="A845" s="175"/>
      <c r="B845" s="163"/>
      <c r="C845" s="123"/>
      <c r="D845" s="123"/>
      <c r="E845" s="32"/>
      <c r="F845"/>
      <c r="G845"/>
      <c r="H845"/>
      <c r="I845"/>
      <c r="J845"/>
      <c r="K845"/>
      <c r="L845"/>
      <c r="M845"/>
      <c r="N845"/>
      <c r="O845"/>
      <c r="P845"/>
      <c r="Q845"/>
      <c r="R845"/>
      <c r="S845"/>
      <c r="T845"/>
      <c r="U845"/>
      <c r="V845"/>
      <c r="W845"/>
      <c r="X845"/>
      <c r="Y845"/>
      <c r="Z845"/>
      <c r="AA845"/>
      <c r="AB845"/>
      <c r="AC845"/>
      <c r="AD845"/>
      <c r="AE845"/>
      <c r="AF845"/>
      <c r="AG845"/>
      <c r="AH845"/>
      <c r="AI845"/>
    </row>
    <row r="846" spans="1:35" s="33" customFormat="1" ht="15.75">
      <c r="A846" s="175"/>
      <c r="B846" s="163"/>
      <c r="C846" s="123"/>
      <c r="D846" s="123"/>
      <c r="E846" s="32"/>
      <c r="F846"/>
      <c r="G846"/>
      <c r="H846"/>
      <c r="I846"/>
      <c r="J846"/>
      <c r="K846"/>
      <c r="L846"/>
      <c r="M846"/>
      <c r="N846"/>
      <c r="O846"/>
      <c r="P846"/>
      <c r="Q846"/>
      <c r="R846"/>
      <c r="S846"/>
      <c r="T846"/>
      <c r="U846"/>
      <c r="V846"/>
      <c r="W846"/>
      <c r="X846"/>
      <c r="Y846"/>
      <c r="Z846"/>
      <c r="AA846"/>
      <c r="AB846"/>
      <c r="AC846"/>
      <c r="AD846"/>
      <c r="AE846"/>
      <c r="AF846"/>
      <c r="AG846"/>
      <c r="AH846"/>
      <c r="AI846"/>
    </row>
    <row r="847" spans="1:35" s="33" customFormat="1" ht="15.75">
      <c r="A847" s="175"/>
      <c r="B847" s="163"/>
      <c r="C847" s="123"/>
      <c r="D847" s="123"/>
      <c r="E847" s="32"/>
      <c r="F847"/>
      <c r="G847"/>
      <c r="H847"/>
      <c r="I847"/>
      <c r="J847"/>
      <c r="K847"/>
      <c r="L847"/>
      <c r="M847"/>
      <c r="N847"/>
      <c r="O847"/>
      <c r="P847"/>
      <c r="Q847"/>
      <c r="R847"/>
      <c r="S847"/>
      <c r="T847"/>
      <c r="U847"/>
      <c r="V847"/>
      <c r="W847"/>
      <c r="X847"/>
      <c r="Y847"/>
      <c r="Z847"/>
      <c r="AA847"/>
      <c r="AB847"/>
      <c r="AC847"/>
      <c r="AD847"/>
      <c r="AE847"/>
      <c r="AF847"/>
      <c r="AG847"/>
      <c r="AH847"/>
      <c r="AI847"/>
    </row>
    <row r="848" spans="1:35" s="33" customFormat="1" ht="15.75">
      <c r="A848" s="175"/>
      <c r="B848" s="163"/>
      <c r="C848" s="123"/>
      <c r="D848" s="123"/>
      <c r="E848" s="32"/>
      <c r="F848"/>
      <c r="G848"/>
      <c r="H848"/>
      <c r="I848"/>
      <c r="J848"/>
      <c r="K848"/>
      <c r="L848"/>
      <c r="M848"/>
      <c r="N848"/>
      <c r="O848"/>
      <c r="P848"/>
      <c r="Q848"/>
      <c r="R848"/>
      <c r="S848"/>
      <c r="T848"/>
      <c r="U848"/>
      <c r="V848"/>
      <c r="W848"/>
      <c r="X848"/>
      <c r="Y848"/>
      <c r="Z848"/>
      <c r="AA848"/>
      <c r="AB848"/>
      <c r="AC848"/>
      <c r="AD848"/>
      <c r="AE848"/>
      <c r="AF848"/>
      <c r="AG848"/>
      <c r="AH848"/>
      <c r="AI848"/>
    </row>
    <row r="849" spans="1:35" s="33" customFormat="1" ht="15.75">
      <c r="A849" s="175"/>
      <c r="B849" s="163"/>
      <c r="C849" s="123"/>
      <c r="D849" s="123"/>
      <c r="E849" s="32"/>
      <c r="F849"/>
      <c r="G849"/>
      <c r="H849"/>
      <c r="I849"/>
      <c r="J849"/>
      <c r="K849"/>
      <c r="L849"/>
      <c r="M849"/>
      <c r="N849"/>
      <c r="O849"/>
      <c r="P849"/>
      <c r="Q849"/>
      <c r="R849"/>
      <c r="S849"/>
      <c r="T849"/>
      <c r="U849"/>
      <c r="V849"/>
      <c r="W849"/>
      <c r="X849"/>
      <c r="Y849"/>
      <c r="Z849"/>
      <c r="AA849"/>
      <c r="AB849"/>
      <c r="AC849"/>
      <c r="AD849"/>
      <c r="AE849"/>
      <c r="AF849"/>
      <c r="AG849"/>
      <c r="AH849"/>
      <c r="AI849"/>
    </row>
    <row r="850" spans="1:35" s="33" customFormat="1" ht="15.75">
      <c r="A850" s="175"/>
      <c r="B850" s="163"/>
      <c r="C850" s="123"/>
      <c r="D850" s="123"/>
      <c r="E850" s="32"/>
      <c r="F850"/>
      <c r="G850"/>
      <c r="H850"/>
      <c r="I850"/>
      <c r="J850"/>
      <c r="K850"/>
      <c r="L850"/>
      <c r="M850"/>
      <c r="N850"/>
      <c r="O850"/>
      <c r="P850"/>
      <c r="Q850"/>
      <c r="R850"/>
      <c r="S850"/>
      <c r="T850"/>
      <c r="U850"/>
      <c r="V850"/>
      <c r="W850"/>
      <c r="X850"/>
      <c r="Y850"/>
      <c r="Z850"/>
      <c r="AA850"/>
      <c r="AB850"/>
      <c r="AC850"/>
      <c r="AD850"/>
      <c r="AE850"/>
      <c r="AF850"/>
      <c r="AG850"/>
      <c r="AH850"/>
      <c r="AI850"/>
    </row>
    <row r="851" spans="1:35" s="33" customFormat="1" ht="15.75">
      <c r="A851" s="175"/>
      <c r="B851" s="163"/>
      <c r="C851" s="123"/>
      <c r="D851" s="123"/>
      <c r="E851" s="32"/>
      <c r="F851"/>
      <c r="G851"/>
      <c r="H851"/>
      <c r="I851"/>
      <c r="J851"/>
      <c r="K851"/>
      <c r="L851"/>
      <c r="M851"/>
      <c r="N851"/>
      <c r="O851"/>
      <c r="P851"/>
      <c r="Q851"/>
      <c r="R851"/>
      <c r="S851"/>
      <c r="T851"/>
      <c r="U851"/>
      <c r="V851"/>
      <c r="W851"/>
      <c r="X851"/>
      <c r="Y851"/>
      <c r="Z851"/>
      <c r="AA851"/>
      <c r="AB851"/>
      <c r="AC851"/>
      <c r="AD851"/>
      <c r="AE851"/>
      <c r="AF851"/>
      <c r="AG851"/>
      <c r="AH851"/>
      <c r="AI851"/>
    </row>
    <row r="852" spans="1:35" s="33" customFormat="1" ht="15.75">
      <c r="A852" s="175"/>
      <c r="B852" s="163"/>
      <c r="C852" s="123"/>
      <c r="D852" s="123"/>
      <c r="E852" s="32"/>
      <c r="F852"/>
      <c r="G852"/>
      <c r="H852"/>
      <c r="I852"/>
      <c r="J852"/>
      <c r="K852"/>
      <c r="L852"/>
      <c r="M852"/>
      <c r="N852"/>
      <c r="O852"/>
      <c r="P852"/>
      <c r="Q852"/>
      <c r="R852"/>
      <c r="S852"/>
      <c r="T852"/>
      <c r="U852"/>
      <c r="V852"/>
      <c r="W852"/>
      <c r="X852"/>
      <c r="Y852"/>
      <c r="Z852"/>
      <c r="AA852"/>
      <c r="AB852"/>
      <c r="AC852"/>
      <c r="AD852"/>
      <c r="AE852"/>
      <c r="AF852"/>
      <c r="AG852"/>
      <c r="AH852"/>
      <c r="AI852"/>
    </row>
    <row r="853" spans="1:35" s="33" customFormat="1" ht="15.75">
      <c r="A853" s="175"/>
      <c r="B853" s="163"/>
      <c r="C853" s="123"/>
      <c r="D853" s="123"/>
      <c r="E853" s="32"/>
      <c r="F853"/>
      <c r="G853"/>
      <c r="H853"/>
      <c r="I853"/>
      <c r="J853"/>
      <c r="K853"/>
      <c r="L853"/>
      <c r="M853"/>
      <c r="N853"/>
      <c r="O853"/>
      <c r="P853"/>
      <c r="Q853"/>
      <c r="R853"/>
      <c r="S853"/>
      <c r="T853"/>
      <c r="U853"/>
      <c r="V853"/>
      <c r="W853"/>
      <c r="X853"/>
      <c r="Y853"/>
      <c r="Z853"/>
      <c r="AA853"/>
      <c r="AB853"/>
      <c r="AC853"/>
      <c r="AD853"/>
      <c r="AE853"/>
      <c r="AF853"/>
      <c r="AG853"/>
      <c r="AH853"/>
      <c r="AI853"/>
    </row>
    <row r="854" spans="1:35" s="33" customFormat="1" ht="15.75">
      <c r="A854" s="175"/>
      <c r="B854" s="163"/>
      <c r="C854" s="123"/>
      <c r="D854" s="123"/>
      <c r="E854" s="32"/>
      <c r="F854"/>
      <c r="G854"/>
      <c r="H854"/>
      <c r="I854"/>
      <c r="J854"/>
      <c r="K854"/>
      <c r="L854"/>
      <c r="M854"/>
      <c r="N854"/>
      <c r="O854"/>
      <c r="P854"/>
      <c r="Q854"/>
      <c r="R854"/>
      <c r="S854"/>
      <c r="T854"/>
      <c r="U854"/>
      <c r="V854"/>
      <c r="W854"/>
      <c r="X854"/>
      <c r="Y854"/>
      <c r="Z854"/>
      <c r="AA854"/>
      <c r="AB854"/>
      <c r="AC854"/>
      <c r="AD854"/>
      <c r="AE854"/>
      <c r="AF854"/>
      <c r="AG854"/>
      <c r="AH854"/>
      <c r="AI854"/>
    </row>
    <row r="855" spans="1:35" s="33" customFormat="1" ht="15.75">
      <c r="A855" s="175"/>
      <c r="B855" s="163"/>
      <c r="C855" s="123"/>
      <c r="D855" s="123"/>
      <c r="E855" s="32"/>
      <c r="F855"/>
      <c r="G855"/>
      <c r="H855"/>
      <c r="I855"/>
      <c r="J855"/>
      <c r="K855"/>
      <c r="L855"/>
      <c r="M855"/>
      <c r="N855"/>
      <c r="O855"/>
      <c r="P855"/>
      <c r="Q855"/>
      <c r="R855"/>
      <c r="S855"/>
      <c r="T855"/>
      <c r="U855"/>
      <c r="V855"/>
      <c r="W855"/>
      <c r="X855"/>
      <c r="Y855"/>
      <c r="Z855"/>
      <c r="AA855"/>
      <c r="AB855"/>
      <c r="AC855"/>
      <c r="AD855"/>
      <c r="AE855"/>
      <c r="AF855"/>
      <c r="AG855"/>
      <c r="AH855"/>
      <c r="AI855"/>
    </row>
    <row r="856" spans="1:35" s="33" customFormat="1" ht="15.75">
      <c r="A856" s="175"/>
      <c r="B856" s="163"/>
      <c r="C856" s="123"/>
      <c r="D856" s="123"/>
      <c r="E856" s="32"/>
      <c r="F856"/>
      <c r="G856"/>
      <c r="H856"/>
      <c r="I856"/>
      <c r="J856"/>
      <c r="K856"/>
      <c r="L856"/>
      <c r="M856"/>
      <c r="N856"/>
      <c r="O856"/>
      <c r="P856"/>
      <c r="Q856"/>
      <c r="R856"/>
      <c r="S856"/>
      <c r="T856"/>
      <c r="U856"/>
      <c r="V856"/>
      <c r="W856"/>
      <c r="X856"/>
      <c r="Y856"/>
      <c r="Z856"/>
      <c r="AA856"/>
      <c r="AB856"/>
      <c r="AC856"/>
      <c r="AD856"/>
      <c r="AE856"/>
      <c r="AF856"/>
      <c r="AG856"/>
      <c r="AH856"/>
      <c r="AI856"/>
    </row>
    <row r="857" spans="1:35" s="33" customFormat="1" ht="15.75">
      <c r="A857" s="175"/>
      <c r="B857" s="163"/>
      <c r="C857" s="123"/>
      <c r="D857" s="123"/>
      <c r="E857" s="32"/>
      <c r="F857"/>
      <c r="G857"/>
      <c r="H857"/>
      <c r="I857"/>
      <c r="J857"/>
      <c r="K857"/>
      <c r="L857"/>
      <c r="M857"/>
      <c r="N857"/>
      <c r="O857"/>
      <c r="P857"/>
      <c r="Q857"/>
      <c r="R857"/>
      <c r="S857"/>
      <c r="T857"/>
      <c r="U857"/>
      <c r="V857"/>
      <c r="W857"/>
      <c r="X857"/>
      <c r="Y857"/>
      <c r="Z857"/>
      <c r="AA857"/>
      <c r="AB857"/>
      <c r="AC857"/>
      <c r="AD857"/>
      <c r="AE857"/>
      <c r="AF857"/>
      <c r="AG857"/>
      <c r="AH857"/>
      <c r="AI857"/>
    </row>
    <row r="858" spans="1:35" s="33" customFormat="1" ht="15.75">
      <c r="A858" s="175"/>
      <c r="B858" s="163"/>
      <c r="C858" s="123"/>
      <c r="D858" s="123"/>
      <c r="E858" s="32"/>
      <c r="F858"/>
      <c r="G858"/>
      <c r="H858"/>
      <c r="I858"/>
      <c r="J858"/>
      <c r="K858"/>
      <c r="L858"/>
      <c r="M858"/>
      <c r="N858"/>
      <c r="O858"/>
      <c r="P858"/>
      <c r="Q858"/>
      <c r="R858"/>
      <c r="S858"/>
      <c r="T858"/>
      <c r="U858"/>
      <c r="V858"/>
      <c r="W858"/>
      <c r="X858"/>
      <c r="Y858"/>
      <c r="Z858"/>
      <c r="AA858"/>
      <c r="AB858"/>
      <c r="AC858"/>
      <c r="AD858"/>
      <c r="AE858"/>
      <c r="AF858"/>
      <c r="AG858"/>
      <c r="AH858"/>
      <c r="AI858"/>
    </row>
    <row r="859" spans="1:35" s="33" customFormat="1" ht="15.75">
      <c r="A859" s="175"/>
      <c r="B859" s="163"/>
      <c r="C859" s="123"/>
      <c r="D859" s="123"/>
      <c r="E859" s="32"/>
      <c r="F859"/>
      <c r="G859"/>
      <c r="H859"/>
      <c r="I859"/>
      <c r="J859"/>
      <c r="K859"/>
      <c r="L859"/>
      <c r="M859"/>
      <c r="N859"/>
      <c r="O859"/>
      <c r="P859"/>
      <c r="Q859"/>
      <c r="R859"/>
      <c r="S859"/>
      <c r="T859"/>
      <c r="U859"/>
      <c r="V859"/>
      <c r="W859"/>
      <c r="X859"/>
      <c r="Y859"/>
      <c r="Z859"/>
      <c r="AA859"/>
      <c r="AB859"/>
      <c r="AC859"/>
      <c r="AD859"/>
      <c r="AE859"/>
      <c r="AF859"/>
      <c r="AG859"/>
      <c r="AH859"/>
      <c r="AI859"/>
    </row>
    <row r="860" spans="1:35" s="33" customFormat="1" ht="15.75">
      <c r="A860" s="175"/>
      <c r="B860" s="163"/>
      <c r="C860" s="123"/>
      <c r="D860" s="123"/>
      <c r="E860" s="32"/>
      <c r="F860"/>
      <c r="G860"/>
      <c r="H860"/>
      <c r="I860"/>
      <c r="J860"/>
      <c r="K860"/>
      <c r="L860"/>
      <c r="M860"/>
      <c r="N860"/>
      <c r="O860"/>
      <c r="P860"/>
      <c r="Q860"/>
      <c r="R860"/>
      <c r="S860"/>
      <c r="T860"/>
      <c r="U860"/>
      <c r="V860"/>
      <c r="W860"/>
      <c r="X860"/>
      <c r="Y860"/>
      <c r="Z860"/>
      <c r="AA860"/>
      <c r="AB860"/>
      <c r="AC860"/>
      <c r="AD860"/>
      <c r="AE860"/>
      <c r="AF860"/>
      <c r="AG860"/>
      <c r="AH860"/>
      <c r="AI860"/>
    </row>
    <row r="861" spans="1:35" s="33" customFormat="1" ht="15.75">
      <c r="A861" s="175"/>
      <c r="B861" s="163"/>
      <c r="C861" s="123"/>
      <c r="D861" s="123"/>
      <c r="E861" s="32"/>
      <c r="F861"/>
      <c r="G861"/>
      <c r="H861"/>
      <c r="I861"/>
      <c r="J861"/>
      <c r="K861"/>
      <c r="L861"/>
      <c r="M861"/>
      <c r="N861"/>
      <c r="O861"/>
      <c r="P861"/>
      <c r="Q861"/>
      <c r="R861"/>
      <c r="S861"/>
      <c r="T861"/>
      <c r="U861"/>
      <c r="V861"/>
      <c r="W861"/>
      <c r="X861"/>
      <c r="Y861"/>
      <c r="Z861"/>
      <c r="AA861"/>
      <c r="AB861"/>
      <c r="AC861"/>
      <c r="AD861"/>
      <c r="AE861"/>
      <c r="AF861"/>
      <c r="AG861"/>
      <c r="AH861"/>
      <c r="AI861"/>
    </row>
    <row r="862" spans="1:35" s="33" customFormat="1" ht="15.75">
      <c r="A862" s="175"/>
      <c r="B862" s="163"/>
      <c r="C862" s="123"/>
      <c r="D862" s="123"/>
      <c r="E862" s="32"/>
      <c r="F862"/>
      <c r="G862"/>
      <c r="H862"/>
      <c r="I862"/>
      <c r="J862"/>
      <c r="K862"/>
      <c r="L862"/>
      <c r="M862"/>
      <c r="N862"/>
      <c r="O862"/>
      <c r="P862"/>
      <c r="Q862"/>
      <c r="R862"/>
      <c r="S862"/>
      <c r="T862"/>
      <c r="U862"/>
      <c r="V862"/>
      <c r="W862"/>
      <c r="X862"/>
      <c r="Y862"/>
      <c r="Z862"/>
      <c r="AA862"/>
      <c r="AB862"/>
      <c r="AC862"/>
      <c r="AD862"/>
      <c r="AE862"/>
      <c r="AF862"/>
      <c r="AG862"/>
      <c r="AH862"/>
      <c r="AI862"/>
    </row>
    <row r="863" spans="1:35" s="33" customFormat="1" ht="15.75">
      <c r="A863" s="175"/>
      <c r="B863" s="163"/>
      <c r="C863" s="123"/>
      <c r="D863" s="123"/>
      <c r="E863" s="32"/>
      <c r="F863"/>
      <c r="G863"/>
      <c r="H863"/>
      <c r="I863"/>
      <c r="J863"/>
      <c r="K863"/>
      <c r="L863"/>
      <c r="M863"/>
      <c r="N863"/>
      <c r="O863"/>
      <c r="P863"/>
      <c r="Q863"/>
      <c r="R863"/>
      <c r="S863"/>
      <c r="T863"/>
      <c r="U863"/>
      <c r="V863"/>
      <c r="W863"/>
      <c r="X863"/>
      <c r="Y863"/>
      <c r="Z863"/>
      <c r="AA863"/>
      <c r="AB863"/>
      <c r="AC863"/>
      <c r="AD863"/>
      <c r="AE863"/>
      <c r="AF863"/>
      <c r="AG863"/>
      <c r="AH863"/>
      <c r="AI863"/>
    </row>
    <row r="864" spans="1:35" s="33" customFormat="1" ht="15.75">
      <c r="A864" s="175"/>
      <c r="B864" s="163"/>
      <c r="C864" s="123"/>
      <c r="D864" s="123"/>
      <c r="E864" s="32"/>
      <c r="F864"/>
      <c r="G864"/>
      <c r="H864"/>
      <c r="I864"/>
      <c r="J864"/>
      <c r="K864"/>
      <c r="L864"/>
      <c r="M864"/>
      <c r="N864"/>
      <c r="O864"/>
      <c r="P864"/>
      <c r="Q864"/>
      <c r="R864"/>
      <c r="S864"/>
      <c r="T864"/>
      <c r="U864"/>
      <c r="V864"/>
      <c r="W864"/>
      <c r="X864"/>
      <c r="Y864"/>
      <c r="Z864"/>
      <c r="AA864"/>
      <c r="AB864"/>
      <c r="AC864"/>
      <c r="AD864"/>
      <c r="AE864"/>
      <c r="AF864"/>
      <c r="AG864"/>
      <c r="AH864"/>
      <c r="AI864"/>
    </row>
    <row r="865" spans="1:35" s="33" customFormat="1" ht="15.75">
      <c r="A865" s="175"/>
      <c r="B865" s="163"/>
      <c r="C865" s="123"/>
      <c r="D865" s="123"/>
      <c r="E865" s="32"/>
      <c r="F865"/>
      <c r="G865"/>
      <c r="H865"/>
      <c r="I865"/>
      <c r="J865"/>
      <c r="K865"/>
      <c r="L865"/>
      <c r="M865"/>
      <c r="N865"/>
      <c r="O865"/>
      <c r="P865"/>
      <c r="Q865"/>
      <c r="R865"/>
      <c r="S865"/>
      <c r="T865"/>
      <c r="U865"/>
      <c r="V865"/>
      <c r="W865"/>
      <c r="X865"/>
      <c r="Y865"/>
      <c r="Z865"/>
      <c r="AA865"/>
      <c r="AB865"/>
      <c r="AC865"/>
      <c r="AD865"/>
      <c r="AE865"/>
      <c r="AF865"/>
      <c r="AG865"/>
      <c r="AH865"/>
      <c r="AI865"/>
    </row>
    <row r="866" spans="1:35" s="33" customFormat="1" ht="15.75">
      <c r="A866" s="175"/>
      <c r="B866" s="163"/>
      <c r="C866" s="123"/>
      <c r="D866" s="123"/>
      <c r="E866" s="32"/>
      <c r="F866"/>
      <c r="G866"/>
      <c r="H866"/>
      <c r="I866"/>
      <c r="J866"/>
      <c r="K866"/>
      <c r="L866"/>
      <c r="M866"/>
      <c r="N866"/>
      <c r="O866"/>
      <c r="P866"/>
      <c r="Q866"/>
      <c r="R866"/>
      <c r="S866"/>
      <c r="T866"/>
      <c r="U866"/>
      <c r="V866"/>
      <c r="W866"/>
      <c r="X866"/>
      <c r="Y866"/>
      <c r="Z866"/>
      <c r="AA866"/>
      <c r="AB866"/>
      <c r="AC866"/>
      <c r="AD866"/>
      <c r="AE866"/>
      <c r="AF866"/>
      <c r="AG866"/>
      <c r="AH866"/>
      <c r="AI866"/>
    </row>
    <row r="867" spans="1:35" s="33" customFormat="1" ht="15.75">
      <c r="A867" s="175"/>
      <c r="B867" s="163"/>
      <c r="C867" s="123"/>
      <c r="D867" s="123"/>
      <c r="E867" s="32"/>
      <c r="F867"/>
      <c r="G867"/>
      <c r="H867"/>
      <c r="I867"/>
      <c r="J867"/>
      <c r="K867"/>
      <c r="L867"/>
      <c r="M867"/>
      <c r="N867"/>
      <c r="O867"/>
      <c r="P867"/>
      <c r="Q867"/>
      <c r="R867"/>
      <c r="S867"/>
      <c r="T867"/>
      <c r="U867"/>
      <c r="V867"/>
      <c r="W867"/>
      <c r="X867"/>
      <c r="Y867"/>
      <c r="Z867"/>
      <c r="AA867"/>
      <c r="AB867"/>
      <c r="AC867"/>
      <c r="AD867"/>
      <c r="AE867"/>
      <c r="AF867"/>
      <c r="AG867"/>
      <c r="AH867"/>
      <c r="AI867"/>
    </row>
    <row r="868" spans="1:35" s="33" customFormat="1" ht="15.75">
      <c r="A868" s="175"/>
      <c r="B868" s="163"/>
      <c r="C868" s="123"/>
      <c r="D868" s="123"/>
      <c r="E868" s="32"/>
      <c r="F868"/>
      <c r="G868"/>
      <c r="H868"/>
      <c r="I868"/>
      <c r="J868"/>
      <c r="K868"/>
      <c r="L868"/>
      <c r="M868"/>
      <c r="N868"/>
      <c r="O868"/>
      <c r="P868"/>
      <c r="Q868"/>
      <c r="R868"/>
      <c r="S868"/>
      <c r="T868"/>
      <c r="U868"/>
      <c r="V868"/>
      <c r="W868"/>
      <c r="X868"/>
      <c r="Y868"/>
      <c r="Z868"/>
      <c r="AA868"/>
      <c r="AB868"/>
      <c r="AC868"/>
      <c r="AD868"/>
      <c r="AE868"/>
      <c r="AF868"/>
      <c r="AG868"/>
      <c r="AH868"/>
      <c r="AI868"/>
    </row>
    <row r="869" spans="1:35" s="33" customFormat="1" ht="15.75">
      <c r="A869" s="175"/>
      <c r="B869" s="163"/>
      <c r="C869" s="123"/>
      <c r="D869" s="123"/>
      <c r="E869" s="32"/>
      <c r="F869"/>
      <c r="G869"/>
      <c r="H869"/>
      <c r="I869"/>
      <c r="J869"/>
      <c r="K869"/>
      <c r="L869"/>
      <c r="M869"/>
      <c r="N869"/>
      <c r="O869"/>
      <c r="P869"/>
      <c r="Q869"/>
      <c r="R869"/>
      <c r="S869"/>
      <c r="T869"/>
      <c r="U869"/>
      <c r="V869"/>
      <c r="W869"/>
      <c r="X869"/>
      <c r="Y869"/>
      <c r="Z869"/>
      <c r="AA869"/>
      <c r="AB869"/>
      <c r="AC869"/>
      <c r="AD869"/>
      <c r="AE869"/>
      <c r="AF869"/>
      <c r="AG869"/>
      <c r="AH869"/>
      <c r="AI869"/>
    </row>
    <row r="870" spans="1:35" s="33" customFormat="1" ht="15.75">
      <c r="A870" s="175"/>
      <c r="B870" s="163"/>
      <c r="C870" s="123"/>
      <c r="D870" s="123"/>
      <c r="E870" s="32"/>
      <c r="F870"/>
      <c r="G870"/>
      <c r="H870"/>
      <c r="I870"/>
      <c r="J870"/>
      <c r="K870"/>
      <c r="L870"/>
      <c r="M870"/>
      <c r="N870"/>
      <c r="O870"/>
      <c r="P870"/>
      <c r="Q870"/>
      <c r="R870"/>
      <c r="S870"/>
      <c r="T870"/>
      <c r="U870"/>
      <c r="V870"/>
      <c r="W870"/>
      <c r="X870"/>
      <c r="Y870"/>
      <c r="Z870"/>
      <c r="AA870"/>
      <c r="AB870"/>
      <c r="AC870"/>
      <c r="AD870"/>
      <c r="AE870"/>
      <c r="AF870"/>
      <c r="AG870"/>
      <c r="AH870"/>
      <c r="AI870"/>
    </row>
    <row r="871" spans="1:35" s="33" customFormat="1" ht="15.75">
      <c r="A871" s="175"/>
      <c r="B871" s="163"/>
      <c r="C871" s="123"/>
      <c r="D871" s="123"/>
      <c r="E871" s="32"/>
      <c r="F871"/>
      <c r="G871"/>
      <c r="H871"/>
      <c r="I871"/>
      <c r="J871"/>
      <c r="K871"/>
      <c r="L871"/>
      <c r="M871"/>
      <c r="N871"/>
      <c r="O871"/>
      <c r="P871"/>
      <c r="Q871"/>
      <c r="R871"/>
      <c r="S871"/>
      <c r="T871"/>
      <c r="U871"/>
      <c r="V871"/>
      <c r="W871"/>
      <c r="X871"/>
      <c r="Y871"/>
      <c r="Z871"/>
      <c r="AA871"/>
      <c r="AB871"/>
      <c r="AC871"/>
      <c r="AD871"/>
      <c r="AE871"/>
      <c r="AF871"/>
      <c r="AG871"/>
      <c r="AH871"/>
      <c r="AI871"/>
    </row>
    <row r="872" spans="1:35" s="33" customFormat="1" ht="15.75">
      <c r="A872" s="175"/>
      <c r="B872" s="163"/>
      <c r="C872" s="123"/>
      <c r="D872" s="123"/>
      <c r="E872" s="32"/>
      <c r="F872"/>
      <c r="G872"/>
      <c r="H872"/>
      <c r="I872"/>
      <c r="J872"/>
      <c r="K872"/>
      <c r="L872"/>
      <c r="M872"/>
      <c r="N872"/>
      <c r="O872"/>
      <c r="P872"/>
      <c r="Q872"/>
      <c r="R872"/>
      <c r="S872"/>
      <c r="T872"/>
      <c r="U872"/>
      <c r="V872"/>
      <c r="W872"/>
      <c r="X872"/>
      <c r="Y872"/>
      <c r="Z872"/>
      <c r="AA872"/>
      <c r="AB872"/>
      <c r="AC872"/>
      <c r="AD872"/>
      <c r="AE872"/>
      <c r="AF872"/>
      <c r="AG872"/>
      <c r="AH872"/>
      <c r="AI872"/>
    </row>
    <row r="873" spans="1:35" s="33" customFormat="1" ht="15.75">
      <c r="A873" s="175"/>
      <c r="B873" s="163"/>
      <c r="C873" s="123"/>
      <c r="D873" s="123"/>
      <c r="E873" s="32"/>
      <c r="F873"/>
      <c r="G873"/>
      <c r="H873"/>
      <c r="I873"/>
      <c r="J873"/>
      <c r="K873"/>
      <c r="L873"/>
      <c r="M873"/>
      <c r="N873"/>
      <c r="O873"/>
      <c r="P873"/>
      <c r="Q873"/>
      <c r="R873"/>
      <c r="S873"/>
      <c r="T873"/>
      <c r="U873"/>
      <c r="V873"/>
      <c r="W873"/>
      <c r="X873"/>
      <c r="Y873"/>
      <c r="Z873"/>
      <c r="AA873"/>
      <c r="AB873"/>
      <c r="AC873"/>
      <c r="AD873"/>
      <c r="AE873"/>
      <c r="AF873"/>
      <c r="AG873"/>
      <c r="AH873"/>
      <c r="AI873"/>
    </row>
    <row r="874" spans="1:35" s="33" customFormat="1" ht="15.75">
      <c r="A874" s="175"/>
      <c r="B874" s="163"/>
      <c r="C874" s="123"/>
      <c r="D874" s="123"/>
      <c r="E874" s="32"/>
      <c r="F874"/>
      <c r="G874"/>
      <c r="H874"/>
      <c r="I874"/>
      <c r="J874"/>
      <c r="K874"/>
      <c r="L874"/>
      <c r="M874"/>
      <c r="N874"/>
      <c r="O874"/>
      <c r="P874"/>
      <c r="Q874"/>
      <c r="R874"/>
      <c r="S874"/>
      <c r="T874"/>
      <c r="U874"/>
      <c r="V874"/>
      <c r="W874"/>
      <c r="X874"/>
      <c r="Y874"/>
      <c r="Z874"/>
      <c r="AA874"/>
      <c r="AB874"/>
      <c r="AC874"/>
      <c r="AD874"/>
      <c r="AE874"/>
      <c r="AF874"/>
      <c r="AG874"/>
      <c r="AH874"/>
      <c r="AI874"/>
    </row>
    <row r="875" spans="1:35" s="33" customFormat="1" ht="15.75">
      <c r="A875" s="175"/>
      <c r="B875" s="163"/>
      <c r="C875" s="123"/>
      <c r="D875" s="123"/>
      <c r="E875" s="32"/>
      <c r="F875"/>
      <c r="G875"/>
      <c r="H875"/>
      <c r="I875"/>
      <c r="J875"/>
      <c r="K875"/>
      <c r="L875"/>
      <c r="M875"/>
      <c r="N875"/>
      <c r="O875"/>
      <c r="P875"/>
      <c r="Q875"/>
      <c r="R875"/>
      <c r="S875"/>
      <c r="T875"/>
      <c r="U875"/>
      <c r="V875"/>
      <c r="W875"/>
      <c r="X875"/>
      <c r="Y875"/>
      <c r="Z875"/>
      <c r="AA875"/>
      <c r="AB875"/>
      <c r="AC875"/>
      <c r="AD875"/>
      <c r="AE875"/>
      <c r="AF875"/>
      <c r="AG875"/>
      <c r="AH875"/>
      <c r="AI875"/>
    </row>
    <row r="876" spans="1:35" s="33" customFormat="1" ht="15.75">
      <c r="A876" s="175"/>
      <c r="B876" s="163"/>
      <c r="C876" s="123"/>
      <c r="D876" s="123"/>
      <c r="E876" s="32"/>
      <c r="F876"/>
      <c r="G876"/>
      <c r="H876"/>
      <c r="I876"/>
      <c r="J876"/>
      <c r="K876"/>
      <c r="L876"/>
      <c r="M876"/>
      <c r="N876"/>
      <c r="O876"/>
      <c r="P876"/>
      <c r="Q876"/>
      <c r="R876"/>
      <c r="S876"/>
      <c r="T876"/>
      <c r="U876"/>
      <c r="V876"/>
      <c r="W876"/>
      <c r="X876"/>
      <c r="Y876"/>
      <c r="Z876"/>
      <c r="AA876"/>
      <c r="AB876"/>
      <c r="AC876"/>
      <c r="AD876"/>
      <c r="AE876"/>
      <c r="AF876"/>
      <c r="AG876"/>
      <c r="AH876"/>
      <c r="AI876"/>
    </row>
    <row r="877" spans="1:35" s="33" customFormat="1" ht="15.75">
      <c r="A877" s="175"/>
      <c r="B877" s="163"/>
      <c r="C877" s="123"/>
      <c r="D877" s="123"/>
      <c r="E877" s="32"/>
      <c r="F877"/>
      <c r="G877"/>
      <c r="H877"/>
      <c r="I877"/>
      <c r="J877"/>
      <c r="K877"/>
      <c r="L877"/>
      <c r="M877"/>
      <c r="N877"/>
      <c r="O877"/>
      <c r="P877"/>
      <c r="Q877"/>
      <c r="R877"/>
      <c r="S877"/>
      <c r="T877"/>
      <c r="U877"/>
      <c r="V877"/>
      <c r="W877"/>
      <c r="X877"/>
      <c r="Y877"/>
      <c r="Z877"/>
      <c r="AA877"/>
      <c r="AB877"/>
      <c r="AC877"/>
      <c r="AD877"/>
      <c r="AE877"/>
      <c r="AF877"/>
      <c r="AG877"/>
      <c r="AH877"/>
      <c r="AI877"/>
    </row>
    <row r="878" spans="1:35" s="33" customFormat="1" ht="15.75">
      <c r="A878" s="175"/>
      <c r="B878" s="163"/>
      <c r="C878" s="123"/>
      <c r="D878" s="123"/>
      <c r="E878" s="32"/>
      <c r="F878"/>
      <c r="G878"/>
      <c r="H878"/>
      <c r="I878"/>
      <c r="J878"/>
      <c r="K878"/>
      <c r="L878"/>
      <c r="M878"/>
      <c r="N878"/>
      <c r="O878"/>
      <c r="P878"/>
      <c r="Q878"/>
      <c r="R878"/>
      <c r="S878"/>
      <c r="T878"/>
      <c r="U878"/>
      <c r="V878"/>
      <c r="W878"/>
      <c r="X878"/>
      <c r="Y878"/>
      <c r="Z878"/>
      <c r="AA878"/>
      <c r="AB878"/>
      <c r="AC878"/>
      <c r="AD878"/>
      <c r="AE878"/>
      <c r="AF878"/>
      <c r="AG878"/>
      <c r="AH878"/>
      <c r="AI878"/>
    </row>
    <row r="879" spans="1:35" s="33" customFormat="1" ht="15.75">
      <c r="A879" s="175"/>
      <c r="B879" s="163"/>
      <c r="C879" s="123"/>
      <c r="D879" s="123"/>
      <c r="E879" s="32"/>
      <c r="F879"/>
      <c r="G879"/>
      <c r="H879"/>
      <c r="I879"/>
      <c r="J879"/>
      <c r="K879"/>
      <c r="L879"/>
      <c r="M879"/>
      <c r="N879"/>
      <c r="O879"/>
      <c r="P879"/>
      <c r="Q879"/>
      <c r="R879"/>
      <c r="S879"/>
      <c r="T879"/>
      <c r="U879"/>
      <c r="V879"/>
      <c r="W879"/>
      <c r="X879"/>
      <c r="Y879"/>
      <c r="Z879"/>
      <c r="AA879"/>
      <c r="AB879"/>
      <c r="AC879"/>
      <c r="AD879"/>
      <c r="AE879"/>
      <c r="AF879"/>
      <c r="AG879"/>
      <c r="AH879"/>
      <c r="AI879"/>
    </row>
    <row r="880" spans="1:35" s="33" customFormat="1" ht="15.75">
      <c r="A880" s="175"/>
      <c r="B880" s="163"/>
      <c r="C880" s="123"/>
      <c r="D880" s="123"/>
      <c r="E880" s="32"/>
      <c r="F880"/>
      <c r="G880"/>
      <c r="H880"/>
      <c r="I880"/>
      <c r="J880"/>
      <c r="K880"/>
      <c r="L880"/>
      <c r="M880"/>
      <c r="N880"/>
      <c r="O880"/>
      <c r="P880"/>
      <c r="Q880"/>
      <c r="R880"/>
      <c r="S880"/>
      <c r="T880"/>
      <c r="U880"/>
      <c r="V880"/>
      <c r="W880"/>
      <c r="X880"/>
      <c r="Y880"/>
      <c r="Z880"/>
      <c r="AA880"/>
      <c r="AB880"/>
      <c r="AC880"/>
      <c r="AD880"/>
      <c r="AE880"/>
      <c r="AF880"/>
      <c r="AG880"/>
      <c r="AH880"/>
      <c r="AI880"/>
    </row>
    <row r="881" spans="1:35" s="33" customFormat="1" ht="15.75">
      <c r="A881" s="175"/>
      <c r="B881" s="163"/>
      <c r="C881" s="123"/>
      <c r="D881" s="123"/>
      <c r="E881" s="32"/>
      <c r="F881"/>
      <c r="G881"/>
      <c r="H881"/>
      <c r="I881"/>
      <c r="J881"/>
      <c r="K881"/>
      <c r="L881"/>
      <c r="M881"/>
      <c r="N881"/>
      <c r="O881"/>
      <c r="P881"/>
      <c r="Q881"/>
      <c r="R881"/>
      <c r="S881"/>
      <c r="T881"/>
      <c r="U881"/>
      <c r="V881"/>
      <c r="W881"/>
      <c r="X881"/>
      <c r="Y881"/>
      <c r="Z881"/>
      <c r="AA881"/>
      <c r="AB881"/>
      <c r="AC881"/>
      <c r="AD881"/>
      <c r="AE881"/>
      <c r="AF881"/>
      <c r="AG881"/>
      <c r="AH881"/>
      <c r="AI881"/>
    </row>
    <row r="882" spans="1:35" s="33" customFormat="1" ht="15.75">
      <c r="A882" s="175"/>
      <c r="B882" s="163"/>
      <c r="C882" s="123"/>
      <c r="D882" s="123"/>
      <c r="E882" s="32"/>
      <c r="F882"/>
      <c r="G882"/>
      <c r="H882"/>
      <c r="I882"/>
      <c r="J882"/>
      <c r="K882"/>
      <c r="L882"/>
      <c r="M882"/>
      <c r="N882"/>
      <c r="O882"/>
      <c r="P882"/>
      <c r="Q882"/>
      <c r="R882"/>
      <c r="S882"/>
      <c r="T882"/>
      <c r="U882"/>
      <c r="V882"/>
      <c r="W882"/>
      <c r="X882"/>
      <c r="Y882"/>
      <c r="Z882"/>
      <c r="AA882"/>
      <c r="AB882"/>
      <c r="AC882"/>
      <c r="AD882"/>
      <c r="AE882"/>
      <c r="AF882"/>
      <c r="AG882"/>
      <c r="AH882"/>
      <c r="AI882"/>
    </row>
    <row r="883" spans="1:35" s="33" customFormat="1" ht="15.75">
      <c r="A883" s="175"/>
      <c r="B883" s="163"/>
      <c r="C883" s="123"/>
      <c r="D883" s="123"/>
      <c r="E883" s="32"/>
      <c r="F883"/>
      <c r="G883"/>
      <c r="H883"/>
      <c r="I883"/>
      <c r="J883"/>
      <c r="K883"/>
      <c r="L883"/>
      <c r="M883"/>
      <c r="N883"/>
      <c r="O883"/>
      <c r="P883"/>
      <c r="Q883"/>
      <c r="R883"/>
      <c r="S883"/>
      <c r="T883"/>
      <c r="U883"/>
      <c r="V883"/>
      <c r="W883"/>
      <c r="X883"/>
      <c r="Y883"/>
      <c r="Z883"/>
      <c r="AA883"/>
      <c r="AB883"/>
      <c r="AC883"/>
      <c r="AD883"/>
      <c r="AE883"/>
      <c r="AF883"/>
      <c r="AG883"/>
      <c r="AH883"/>
      <c r="AI883"/>
    </row>
    <row r="884" spans="1:35" s="33" customFormat="1" ht="15.75">
      <c r="A884" s="175"/>
      <c r="B884" s="163"/>
      <c r="C884" s="123"/>
      <c r="D884" s="123"/>
      <c r="E884" s="32"/>
      <c r="F884"/>
      <c r="G884"/>
      <c r="H884"/>
      <c r="I884"/>
      <c r="J884"/>
      <c r="K884"/>
      <c r="L884"/>
      <c r="M884"/>
      <c r="N884"/>
      <c r="O884"/>
      <c r="P884"/>
      <c r="Q884"/>
      <c r="R884"/>
      <c r="S884"/>
      <c r="T884"/>
      <c r="U884"/>
      <c r="V884"/>
      <c r="W884"/>
      <c r="X884"/>
      <c r="Y884"/>
      <c r="Z884"/>
      <c r="AA884"/>
      <c r="AB884"/>
      <c r="AC884"/>
      <c r="AD884"/>
      <c r="AE884"/>
      <c r="AF884"/>
      <c r="AG884"/>
      <c r="AH884"/>
      <c r="AI884"/>
    </row>
    <row r="885" spans="1:35" s="33" customFormat="1" ht="15.75">
      <c r="A885" s="175"/>
      <c r="B885" s="163"/>
      <c r="C885" s="123"/>
      <c r="D885" s="123"/>
      <c r="E885" s="32"/>
      <c r="F885"/>
      <c r="G885"/>
      <c r="H885"/>
      <c r="I885"/>
      <c r="J885"/>
      <c r="K885"/>
      <c r="L885"/>
      <c r="M885"/>
      <c r="N885"/>
      <c r="O885"/>
      <c r="P885"/>
      <c r="Q885"/>
      <c r="R885"/>
      <c r="S885"/>
      <c r="T885"/>
      <c r="U885"/>
      <c r="V885"/>
      <c r="W885"/>
      <c r="X885"/>
      <c r="Y885"/>
      <c r="Z885"/>
      <c r="AA885"/>
      <c r="AB885"/>
      <c r="AC885"/>
      <c r="AD885"/>
      <c r="AE885"/>
      <c r="AF885"/>
      <c r="AG885"/>
      <c r="AH885"/>
      <c r="AI885"/>
    </row>
    <row r="886" spans="1:35" s="33" customFormat="1" ht="15.75">
      <c r="A886" s="175"/>
      <c r="B886" s="163"/>
      <c r="C886" s="123"/>
      <c r="D886" s="123"/>
      <c r="E886" s="32"/>
      <c r="F886"/>
      <c r="G886"/>
      <c r="H886"/>
      <c r="I886"/>
      <c r="J886"/>
      <c r="K886"/>
      <c r="L886"/>
      <c r="M886"/>
      <c r="N886"/>
      <c r="O886"/>
      <c r="P886"/>
      <c r="Q886"/>
      <c r="R886"/>
      <c r="S886"/>
      <c r="T886"/>
      <c r="U886"/>
      <c r="V886"/>
      <c r="W886"/>
      <c r="X886"/>
      <c r="Y886"/>
      <c r="Z886"/>
      <c r="AA886"/>
      <c r="AB886"/>
      <c r="AC886"/>
      <c r="AD886"/>
      <c r="AE886"/>
      <c r="AF886"/>
      <c r="AG886"/>
      <c r="AH886"/>
      <c r="AI886"/>
    </row>
    <row r="887" spans="1:35" s="33" customFormat="1" ht="15.75">
      <c r="A887" s="175"/>
      <c r="B887" s="163"/>
      <c r="C887" s="123"/>
      <c r="D887" s="123"/>
      <c r="E887" s="32"/>
      <c r="F887"/>
      <c r="G887"/>
      <c r="H887"/>
      <c r="I887"/>
      <c r="J887"/>
      <c r="K887"/>
      <c r="L887"/>
      <c r="M887"/>
      <c r="N887"/>
      <c r="O887"/>
      <c r="P887"/>
      <c r="Q887"/>
      <c r="R887"/>
      <c r="S887"/>
      <c r="T887"/>
      <c r="U887"/>
      <c r="V887"/>
      <c r="W887"/>
      <c r="X887"/>
      <c r="Y887"/>
      <c r="Z887"/>
      <c r="AA887"/>
      <c r="AB887"/>
      <c r="AC887"/>
      <c r="AD887"/>
      <c r="AE887"/>
      <c r="AF887"/>
      <c r="AG887"/>
      <c r="AH887"/>
      <c r="AI887"/>
    </row>
    <row r="888" spans="1:35" s="33" customFormat="1" ht="15.75">
      <c r="A888" s="175"/>
      <c r="B888" s="163"/>
      <c r="C888" s="123"/>
      <c r="D888" s="123"/>
      <c r="E888" s="32"/>
      <c r="F888"/>
      <c r="G888"/>
      <c r="H888"/>
      <c r="I888"/>
      <c r="J888"/>
      <c r="K888"/>
      <c r="L888"/>
      <c r="M888"/>
      <c r="N888"/>
      <c r="O888"/>
      <c r="P888"/>
      <c r="Q888"/>
      <c r="R888"/>
      <c r="S888"/>
      <c r="T888"/>
      <c r="U888"/>
      <c r="V888"/>
      <c r="W888"/>
      <c r="X888"/>
      <c r="Y888"/>
      <c r="Z888"/>
      <c r="AA888"/>
      <c r="AB888"/>
      <c r="AC888"/>
      <c r="AD888"/>
      <c r="AE888"/>
      <c r="AF888"/>
      <c r="AG888"/>
      <c r="AH888"/>
      <c r="AI888"/>
    </row>
    <row r="889" spans="1:35" s="33" customFormat="1" ht="15.75">
      <c r="A889" s="175"/>
      <c r="B889" s="163"/>
      <c r="C889" s="123"/>
      <c r="D889" s="123"/>
      <c r="E889" s="32"/>
      <c r="F889"/>
      <c r="G889"/>
      <c r="H889"/>
      <c r="I889"/>
      <c r="J889"/>
      <c r="K889"/>
      <c r="L889"/>
      <c r="M889"/>
      <c r="N889"/>
      <c r="O889"/>
      <c r="P889"/>
      <c r="Q889"/>
      <c r="R889"/>
      <c r="S889"/>
      <c r="T889"/>
      <c r="U889"/>
      <c r="V889"/>
      <c r="W889"/>
      <c r="X889"/>
      <c r="Y889"/>
      <c r="Z889"/>
      <c r="AA889"/>
      <c r="AB889"/>
      <c r="AC889"/>
      <c r="AD889"/>
      <c r="AE889"/>
      <c r="AF889"/>
      <c r="AG889"/>
      <c r="AH889"/>
      <c r="AI889"/>
    </row>
    <row r="890" spans="1:35" s="33" customFormat="1" ht="15.75">
      <c r="A890" s="175"/>
      <c r="B890" s="163"/>
      <c r="C890" s="123"/>
      <c r="D890" s="123"/>
      <c r="E890" s="32"/>
      <c r="F890"/>
      <c r="G890"/>
      <c r="H890"/>
      <c r="I890"/>
      <c r="J890"/>
      <c r="K890"/>
      <c r="L890"/>
      <c r="M890"/>
      <c r="N890"/>
      <c r="O890"/>
      <c r="P890"/>
      <c r="Q890"/>
      <c r="R890"/>
      <c r="S890"/>
      <c r="T890"/>
      <c r="U890"/>
      <c r="V890"/>
      <c r="W890"/>
      <c r="X890"/>
      <c r="Y890"/>
      <c r="Z890"/>
      <c r="AA890"/>
      <c r="AB890"/>
      <c r="AC890"/>
      <c r="AD890"/>
      <c r="AE890"/>
      <c r="AF890"/>
      <c r="AG890"/>
      <c r="AH890"/>
      <c r="AI890"/>
    </row>
    <row r="891" spans="1:35" s="33" customFormat="1" ht="15.75">
      <c r="A891" s="175"/>
      <c r="B891" s="163"/>
      <c r="C891" s="123"/>
      <c r="D891" s="123"/>
      <c r="E891" s="32"/>
      <c r="F891"/>
      <c r="G891"/>
      <c r="H891"/>
      <c r="I891"/>
      <c r="J891"/>
      <c r="K891"/>
      <c r="L891"/>
      <c r="M891"/>
      <c r="N891"/>
      <c r="O891"/>
      <c r="P891"/>
      <c r="Q891"/>
      <c r="R891"/>
      <c r="S891"/>
      <c r="T891"/>
      <c r="U891"/>
      <c r="V891"/>
      <c r="W891"/>
      <c r="X891"/>
      <c r="Y891"/>
      <c r="Z891"/>
      <c r="AA891"/>
      <c r="AB891"/>
      <c r="AC891"/>
      <c r="AD891"/>
      <c r="AE891"/>
      <c r="AF891"/>
      <c r="AG891"/>
      <c r="AH891"/>
      <c r="AI891"/>
    </row>
    <row r="892" spans="1:35" s="33" customFormat="1" ht="15.75">
      <c r="A892" s="175"/>
      <c r="B892" s="163"/>
      <c r="C892" s="123"/>
      <c r="D892" s="123"/>
      <c r="E892" s="32"/>
      <c r="F892"/>
      <c r="G892"/>
      <c r="H892"/>
      <c r="I892"/>
      <c r="J892"/>
      <c r="K892"/>
      <c r="L892"/>
      <c r="M892"/>
      <c r="N892"/>
      <c r="O892"/>
      <c r="P892"/>
      <c r="Q892"/>
      <c r="R892"/>
      <c r="S892"/>
      <c r="T892"/>
      <c r="U892"/>
      <c r="V892"/>
      <c r="W892"/>
      <c r="X892"/>
      <c r="Y892"/>
      <c r="Z892"/>
      <c r="AA892"/>
      <c r="AB892"/>
      <c r="AC892"/>
      <c r="AD892"/>
      <c r="AE892"/>
      <c r="AF892"/>
      <c r="AG892"/>
      <c r="AH892"/>
      <c r="AI892"/>
    </row>
    <row r="893" spans="1:35" s="33" customFormat="1" ht="15.75">
      <c r="A893" s="175"/>
      <c r="B893" s="163"/>
      <c r="C893" s="123"/>
      <c r="D893" s="123"/>
      <c r="E893" s="32"/>
      <c r="F893"/>
      <c r="G893"/>
      <c r="H893"/>
      <c r="I893"/>
      <c r="J893"/>
      <c r="K893"/>
      <c r="L893"/>
      <c r="M893"/>
      <c r="N893"/>
      <c r="O893"/>
      <c r="P893"/>
      <c r="Q893"/>
      <c r="R893"/>
      <c r="S893"/>
      <c r="T893"/>
      <c r="U893"/>
      <c r="V893"/>
      <c r="W893"/>
      <c r="X893"/>
      <c r="Y893"/>
      <c r="Z893"/>
      <c r="AA893"/>
      <c r="AB893"/>
      <c r="AC893"/>
      <c r="AD893"/>
      <c r="AE893"/>
      <c r="AF893"/>
      <c r="AG893"/>
      <c r="AH893"/>
      <c r="AI893"/>
    </row>
    <row r="894" spans="1:35" s="33" customFormat="1" ht="15.75">
      <c r="A894" s="175"/>
      <c r="B894" s="163"/>
      <c r="C894" s="123"/>
      <c r="D894" s="123"/>
      <c r="E894" s="32"/>
      <c r="F894"/>
      <c r="G894"/>
      <c r="H894"/>
      <c r="I894"/>
      <c r="J894"/>
      <c r="K894"/>
      <c r="L894"/>
      <c r="M894"/>
      <c r="N894"/>
      <c r="O894"/>
      <c r="P894"/>
      <c r="Q894"/>
      <c r="R894"/>
      <c r="S894"/>
      <c r="T894"/>
      <c r="U894"/>
      <c r="V894"/>
      <c r="W894"/>
      <c r="X894"/>
      <c r="Y894"/>
      <c r="Z894"/>
      <c r="AA894"/>
      <c r="AB894"/>
      <c r="AC894"/>
      <c r="AD894"/>
      <c r="AE894"/>
      <c r="AF894"/>
      <c r="AG894"/>
      <c r="AH894"/>
      <c r="AI894"/>
    </row>
    <row r="895" spans="1:35" s="33" customFormat="1" ht="15.75">
      <c r="A895" s="175"/>
      <c r="B895" s="163"/>
      <c r="C895" s="123"/>
      <c r="D895" s="123"/>
      <c r="E895" s="32"/>
      <c r="F895"/>
      <c r="G895"/>
      <c r="H895"/>
      <c r="I895"/>
      <c r="J895"/>
      <c r="K895"/>
      <c r="L895"/>
      <c r="M895"/>
      <c r="N895"/>
      <c r="O895"/>
      <c r="P895"/>
      <c r="Q895"/>
      <c r="R895"/>
      <c r="S895"/>
      <c r="T895"/>
      <c r="U895"/>
      <c r="V895"/>
      <c r="W895"/>
      <c r="X895"/>
      <c r="Y895"/>
      <c r="Z895"/>
      <c r="AA895"/>
      <c r="AB895"/>
      <c r="AC895"/>
      <c r="AD895"/>
      <c r="AE895"/>
      <c r="AF895"/>
      <c r="AG895"/>
      <c r="AH895"/>
      <c r="AI895"/>
    </row>
    <row r="896" spans="1:35" s="33" customFormat="1" ht="15.75">
      <c r="A896" s="175"/>
      <c r="B896" s="163"/>
      <c r="C896" s="123"/>
      <c r="D896" s="123"/>
      <c r="E896" s="32"/>
      <c r="F896"/>
      <c r="G896"/>
      <c r="H896"/>
      <c r="I896"/>
      <c r="J896"/>
      <c r="K896"/>
      <c r="L896"/>
      <c r="M896"/>
      <c r="N896"/>
      <c r="O896"/>
      <c r="P896"/>
      <c r="Q896"/>
      <c r="R896"/>
      <c r="S896"/>
      <c r="T896"/>
      <c r="U896"/>
      <c r="V896"/>
      <c r="W896"/>
      <c r="X896"/>
      <c r="Y896"/>
      <c r="Z896"/>
      <c r="AA896"/>
      <c r="AB896"/>
      <c r="AC896"/>
      <c r="AD896"/>
      <c r="AE896"/>
      <c r="AF896"/>
      <c r="AG896"/>
      <c r="AH896"/>
      <c r="AI896"/>
    </row>
    <row r="897" spans="1:35" s="33" customFormat="1" ht="15.75">
      <c r="A897" s="175"/>
      <c r="B897" s="163"/>
      <c r="C897" s="123"/>
      <c r="D897" s="123"/>
      <c r="E897" s="32"/>
      <c r="F897"/>
      <c r="G897"/>
      <c r="H897"/>
      <c r="I897"/>
      <c r="J897"/>
      <c r="K897"/>
      <c r="L897"/>
      <c r="M897"/>
      <c r="N897"/>
      <c r="O897"/>
      <c r="P897"/>
      <c r="Q897"/>
      <c r="R897"/>
      <c r="S897"/>
      <c r="T897"/>
      <c r="U897"/>
      <c r="V897"/>
      <c r="W897"/>
      <c r="X897"/>
      <c r="Y897"/>
      <c r="Z897"/>
      <c r="AA897"/>
      <c r="AB897"/>
      <c r="AC897"/>
      <c r="AD897"/>
      <c r="AE897"/>
      <c r="AF897"/>
      <c r="AG897"/>
      <c r="AH897"/>
      <c r="AI897"/>
    </row>
    <row r="898" spans="1:35" s="33" customFormat="1" ht="15.75">
      <c r="A898" s="175"/>
      <c r="B898" s="163"/>
      <c r="C898" s="123"/>
      <c r="D898" s="123"/>
      <c r="E898" s="32"/>
      <c r="F898"/>
      <c r="G898"/>
      <c r="H898"/>
      <c r="I898"/>
      <c r="J898"/>
      <c r="K898"/>
      <c r="L898"/>
      <c r="M898"/>
      <c r="N898"/>
      <c r="O898"/>
      <c r="P898"/>
      <c r="Q898"/>
      <c r="R898"/>
      <c r="S898"/>
      <c r="T898"/>
      <c r="U898"/>
      <c r="V898"/>
      <c r="W898"/>
      <c r="X898"/>
      <c r="Y898"/>
      <c r="Z898"/>
      <c r="AA898"/>
      <c r="AB898"/>
      <c r="AC898"/>
      <c r="AD898"/>
      <c r="AE898"/>
      <c r="AF898"/>
      <c r="AG898"/>
      <c r="AH898"/>
      <c r="AI898"/>
    </row>
    <row r="899" spans="1:35" s="33" customFormat="1" ht="15.75">
      <c r="A899" s="175"/>
      <c r="B899" s="163"/>
      <c r="C899" s="123"/>
      <c r="D899" s="123"/>
      <c r="E899" s="32"/>
      <c r="F899"/>
      <c r="G899"/>
      <c r="H899"/>
      <c r="I899"/>
      <c r="J899"/>
      <c r="K899"/>
      <c r="L899"/>
      <c r="M899"/>
      <c r="N899"/>
      <c r="O899"/>
      <c r="P899"/>
      <c r="Q899"/>
      <c r="R899"/>
      <c r="S899"/>
      <c r="T899"/>
      <c r="U899"/>
      <c r="V899"/>
      <c r="W899"/>
      <c r="X899"/>
      <c r="Y899"/>
      <c r="Z899"/>
      <c r="AA899"/>
      <c r="AB899"/>
      <c r="AC899"/>
      <c r="AD899"/>
      <c r="AE899"/>
      <c r="AF899"/>
      <c r="AG899"/>
      <c r="AH899"/>
      <c r="AI899"/>
    </row>
    <row r="900" spans="1:35" s="33" customFormat="1" ht="15.75">
      <c r="A900" s="175"/>
      <c r="B900" s="163"/>
      <c r="C900" s="123"/>
      <c r="D900" s="123"/>
      <c r="E900" s="32"/>
      <c r="F900"/>
      <c r="G900"/>
      <c r="H900"/>
      <c r="I900"/>
      <c r="J900"/>
      <c r="K900"/>
      <c r="L900"/>
      <c r="M900"/>
      <c r="N900"/>
      <c r="O900"/>
      <c r="P900"/>
      <c r="Q900"/>
      <c r="R900"/>
      <c r="S900"/>
      <c r="T900"/>
      <c r="U900"/>
      <c r="V900"/>
      <c r="W900"/>
      <c r="X900"/>
      <c r="Y900"/>
      <c r="Z900"/>
      <c r="AA900"/>
      <c r="AB900"/>
      <c r="AC900"/>
      <c r="AD900"/>
      <c r="AE900"/>
      <c r="AF900"/>
      <c r="AG900"/>
      <c r="AH900"/>
      <c r="AI900"/>
    </row>
    <row r="901" spans="1:35" s="33" customFormat="1" ht="15.75">
      <c r="A901" s="175"/>
      <c r="B901" s="163"/>
      <c r="C901" s="123"/>
      <c r="D901" s="123"/>
      <c r="E901" s="32"/>
      <c r="F901"/>
      <c r="G901"/>
      <c r="H901"/>
      <c r="I901"/>
      <c r="J901"/>
      <c r="K901"/>
      <c r="L901"/>
      <c r="M901"/>
      <c r="N901"/>
      <c r="O901"/>
      <c r="P901"/>
      <c r="Q901"/>
      <c r="R901"/>
      <c r="S901"/>
      <c r="T901"/>
      <c r="U901"/>
      <c r="V901"/>
      <c r="W901"/>
      <c r="X901"/>
      <c r="Y901"/>
      <c r="Z901"/>
      <c r="AA901"/>
      <c r="AB901"/>
      <c r="AC901"/>
      <c r="AD901"/>
      <c r="AE901"/>
      <c r="AF901"/>
      <c r="AG901"/>
      <c r="AH901"/>
      <c r="AI901"/>
    </row>
    <row r="902" spans="1:35" s="33" customFormat="1" ht="15.75">
      <c r="A902" s="175"/>
      <c r="B902" s="163"/>
      <c r="C902" s="123"/>
      <c r="D902" s="123"/>
      <c r="E902" s="32"/>
      <c r="F902"/>
      <c r="G902"/>
      <c r="H902"/>
      <c r="I902"/>
      <c r="J902"/>
      <c r="K902"/>
      <c r="L902"/>
      <c r="M902"/>
      <c r="N902"/>
      <c r="O902"/>
      <c r="P902"/>
      <c r="Q902"/>
      <c r="R902"/>
      <c r="S902"/>
      <c r="T902"/>
      <c r="U902"/>
      <c r="V902"/>
      <c r="W902"/>
      <c r="X902"/>
      <c r="Y902"/>
      <c r="Z902"/>
      <c r="AA902"/>
      <c r="AB902"/>
      <c r="AC902"/>
      <c r="AD902"/>
      <c r="AE902"/>
      <c r="AF902"/>
      <c r="AG902"/>
      <c r="AH902"/>
      <c r="AI902"/>
    </row>
    <row r="903" spans="1:35" s="33" customFormat="1" ht="15.75">
      <c r="A903" s="175"/>
      <c r="B903" s="163"/>
      <c r="C903" s="123"/>
      <c r="D903" s="123"/>
      <c r="E903" s="32"/>
      <c r="F903"/>
      <c r="G903"/>
      <c r="H903"/>
      <c r="I903"/>
      <c r="J903"/>
      <c r="K903"/>
      <c r="L903"/>
      <c r="M903"/>
      <c r="N903"/>
      <c r="O903"/>
      <c r="P903"/>
      <c r="Q903"/>
      <c r="R903"/>
      <c r="S903"/>
      <c r="T903"/>
      <c r="U903"/>
      <c r="V903"/>
      <c r="W903"/>
      <c r="X903"/>
      <c r="Y903"/>
      <c r="Z903"/>
      <c r="AA903"/>
      <c r="AB903"/>
      <c r="AC903"/>
      <c r="AD903"/>
      <c r="AE903"/>
      <c r="AF903"/>
      <c r="AG903"/>
      <c r="AH903"/>
      <c r="AI903"/>
    </row>
    <row r="904" spans="1:35" s="33" customFormat="1" ht="15.75">
      <c r="A904" s="175"/>
      <c r="B904" s="163"/>
      <c r="C904" s="123"/>
      <c r="D904" s="123"/>
      <c r="E904" s="32"/>
      <c r="F904"/>
      <c r="G904"/>
      <c r="H904"/>
      <c r="I904"/>
      <c r="J904"/>
      <c r="K904"/>
      <c r="L904"/>
      <c r="M904"/>
      <c r="N904"/>
      <c r="O904"/>
      <c r="P904"/>
      <c r="Q904"/>
      <c r="R904"/>
      <c r="S904"/>
      <c r="T904"/>
      <c r="U904"/>
      <c r="V904"/>
      <c r="W904"/>
      <c r="X904"/>
      <c r="Y904"/>
      <c r="Z904"/>
      <c r="AA904"/>
      <c r="AB904"/>
      <c r="AC904"/>
      <c r="AD904"/>
      <c r="AE904"/>
      <c r="AF904"/>
      <c r="AG904"/>
      <c r="AH904"/>
      <c r="AI904"/>
    </row>
    <row r="905" spans="1:35" s="33" customFormat="1" ht="15.75">
      <c r="A905" s="175"/>
      <c r="B905" s="163"/>
      <c r="C905" s="123"/>
      <c r="D905" s="123"/>
      <c r="E905" s="32"/>
      <c r="F905"/>
      <c r="G905"/>
      <c r="H905"/>
      <c r="I905"/>
      <c r="J905"/>
      <c r="K905"/>
      <c r="L905"/>
      <c r="M905"/>
      <c r="N905"/>
      <c r="O905"/>
      <c r="P905"/>
      <c r="Q905"/>
      <c r="R905"/>
      <c r="S905"/>
      <c r="T905"/>
      <c r="U905"/>
      <c r="V905"/>
      <c r="W905"/>
      <c r="X905"/>
      <c r="Y905"/>
      <c r="Z905"/>
      <c r="AA905"/>
      <c r="AB905"/>
      <c r="AC905"/>
      <c r="AD905"/>
      <c r="AE905"/>
      <c r="AF905"/>
      <c r="AG905"/>
      <c r="AH905"/>
      <c r="AI905"/>
    </row>
    <row r="906" spans="1:35" s="33" customFormat="1" ht="15.75">
      <c r="A906" s="175"/>
      <c r="B906" s="163"/>
      <c r="C906" s="123"/>
      <c r="D906" s="123"/>
      <c r="E906" s="32"/>
      <c r="F906"/>
      <c r="G906"/>
      <c r="H906"/>
      <c r="I906"/>
      <c r="J906"/>
      <c r="K906"/>
      <c r="L906"/>
      <c r="M906"/>
      <c r="N906"/>
      <c r="O906"/>
      <c r="P906"/>
      <c r="Q906"/>
      <c r="R906"/>
      <c r="S906"/>
      <c r="T906"/>
      <c r="U906"/>
      <c r="V906"/>
      <c r="W906"/>
      <c r="X906"/>
      <c r="Y906"/>
      <c r="Z906"/>
      <c r="AA906"/>
      <c r="AB906"/>
      <c r="AC906"/>
      <c r="AD906"/>
      <c r="AE906"/>
      <c r="AF906"/>
      <c r="AG906"/>
      <c r="AH906"/>
      <c r="AI906"/>
    </row>
    <row r="907" spans="1:35" s="33" customFormat="1" ht="15.75">
      <c r="A907" s="175"/>
      <c r="B907" s="163"/>
      <c r="C907" s="123"/>
      <c r="D907" s="123"/>
      <c r="E907" s="32"/>
      <c r="F907"/>
      <c r="G907"/>
      <c r="H907"/>
      <c r="I907"/>
      <c r="J907"/>
      <c r="K907"/>
      <c r="L907"/>
      <c r="M907"/>
      <c r="N907"/>
      <c r="O907"/>
      <c r="P907"/>
      <c r="Q907"/>
      <c r="R907"/>
      <c r="S907"/>
      <c r="T907"/>
      <c r="U907"/>
      <c r="V907"/>
      <c r="W907"/>
      <c r="X907"/>
      <c r="Y907"/>
      <c r="Z907"/>
      <c r="AA907"/>
      <c r="AB907"/>
      <c r="AC907"/>
      <c r="AD907"/>
      <c r="AE907"/>
      <c r="AF907"/>
      <c r="AG907"/>
      <c r="AH907"/>
      <c r="AI907"/>
    </row>
    <row r="908" spans="1:35" s="33" customFormat="1" ht="15.75">
      <c r="A908" s="175"/>
      <c r="B908" s="163"/>
      <c r="C908" s="123"/>
      <c r="D908" s="123"/>
      <c r="E908" s="32"/>
      <c r="F908"/>
      <c r="G908"/>
      <c r="H908"/>
      <c r="I908"/>
      <c r="J908"/>
      <c r="K908"/>
      <c r="L908"/>
      <c r="M908"/>
      <c r="N908"/>
      <c r="O908"/>
      <c r="P908"/>
      <c r="Q908"/>
      <c r="R908"/>
      <c r="S908"/>
      <c r="T908"/>
      <c r="U908"/>
      <c r="V908"/>
      <c r="W908"/>
      <c r="X908"/>
      <c r="Y908"/>
      <c r="Z908"/>
      <c r="AA908"/>
      <c r="AB908"/>
      <c r="AC908"/>
      <c r="AD908"/>
      <c r="AE908"/>
      <c r="AF908"/>
      <c r="AG908"/>
      <c r="AH908"/>
      <c r="AI908"/>
    </row>
    <row r="909" spans="1:35" s="33" customFormat="1" ht="15.75">
      <c r="A909" s="175"/>
      <c r="B909" s="163"/>
      <c r="C909" s="123"/>
      <c r="D909" s="123"/>
      <c r="E909" s="32"/>
      <c r="F909"/>
      <c r="G909"/>
      <c r="H909"/>
      <c r="I909"/>
      <c r="J909"/>
      <c r="K909"/>
      <c r="L909"/>
      <c r="M909"/>
      <c r="N909"/>
      <c r="O909"/>
      <c r="P909"/>
      <c r="Q909"/>
      <c r="R909"/>
      <c r="S909"/>
      <c r="T909"/>
      <c r="U909"/>
      <c r="V909"/>
      <c r="W909"/>
      <c r="X909"/>
      <c r="Y909"/>
      <c r="Z909"/>
      <c r="AA909"/>
      <c r="AB909"/>
      <c r="AC909"/>
      <c r="AD909"/>
      <c r="AE909"/>
      <c r="AF909"/>
      <c r="AG909"/>
      <c r="AH909"/>
      <c r="AI909"/>
    </row>
    <row r="910" spans="1:35" s="33" customFormat="1" ht="15.75">
      <c r="A910" s="175"/>
      <c r="B910" s="163"/>
      <c r="C910" s="123"/>
      <c r="D910" s="123"/>
      <c r="E910" s="32"/>
      <c r="F910"/>
      <c r="G910"/>
      <c r="H910"/>
      <c r="I910"/>
      <c r="J910"/>
      <c r="K910"/>
      <c r="L910"/>
      <c r="M910"/>
      <c r="N910"/>
      <c r="O910"/>
      <c r="P910"/>
      <c r="Q910"/>
      <c r="R910"/>
      <c r="S910"/>
      <c r="T910"/>
      <c r="U910"/>
      <c r="V910"/>
      <c r="W910"/>
      <c r="X910"/>
      <c r="Y910"/>
      <c r="Z910"/>
      <c r="AA910"/>
      <c r="AB910"/>
      <c r="AC910"/>
      <c r="AD910"/>
      <c r="AE910"/>
      <c r="AF910"/>
      <c r="AG910"/>
      <c r="AH910"/>
      <c r="AI910"/>
    </row>
    <row r="911" spans="1:35" s="33" customFormat="1" ht="15.75">
      <c r="A911" s="175"/>
      <c r="B911" s="163"/>
      <c r="C911" s="123"/>
      <c r="D911" s="123"/>
      <c r="E911" s="32"/>
      <c r="F911"/>
      <c r="G911"/>
      <c r="H911"/>
      <c r="I911"/>
      <c r="J911"/>
      <c r="K911"/>
      <c r="L911"/>
      <c r="M911"/>
      <c r="N911"/>
      <c r="O911"/>
      <c r="P911"/>
      <c r="Q911"/>
      <c r="R911"/>
      <c r="S911"/>
      <c r="T911"/>
      <c r="U911"/>
      <c r="V911"/>
      <c r="W911"/>
      <c r="X911"/>
      <c r="Y911"/>
      <c r="Z911"/>
      <c r="AA911"/>
      <c r="AB911"/>
      <c r="AC911"/>
      <c r="AD911"/>
      <c r="AE911"/>
      <c r="AF911"/>
      <c r="AG911"/>
      <c r="AH911"/>
      <c r="AI911"/>
    </row>
    <row r="912" spans="1:35" s="33" customFormat="1" ht="15.75">
      <c r="A912" s="175"/>
      <c r="B912" s="163"/>
      <c r="C912" s="123"/>
      <c r="D912" s="123"/>
      <c r="E912" s="32"/>
      <c r="F912"/>
      <c r="G912"/>
      <c r="H912"/>
      <c r="I912"/>
      <c r="J912"/>
      <c r="K912"/>
      <c r="L912"/>
      <c r="M912"/>
      <c r="N912"/>
      <c r="O912"/>
      <c r="P912"/>
      <c r="Q912"/>
      <c r="R912"/>
      <c r="S912"/>
      <c r="T912"/>
      <c r="U912"/>
      <c r="V912"/>
      <c r="W912"/>
      <c r="X912"/>
      <c r="Y912"/>
      <c r="Z912"/>
      <c r="AA912"/>
      <c r="AB912"/>
      <c r="AC912"/>
      <c r="AD912"/>
      <c r="AE912"/>
      <c r="AF912"/>
      <c r="AG912"/>
      <c r="AH912"/>
      <c r="AI912"/>
    </row>
    <row r="913" spans="1:35" s="33" customFormat="1" ht="15.75">
      <c r="A913" s="175"/>
      <c r="B913" s="163"/>
      <c r="C913" s="123"/>
      <c r="D913" s="123"/>
      <c r="E913" s="32"/>
      <c r="F913"/>
      <c r="G913"/>
      <c r="H913"/>
      <c r="I913"/>
      <c r="J913"/>
      <c r="K913"/>
      <c r="L913"/>
      <c r="M913"/>
      <c r="N913"/>
      <c r="O913"/>
      <c r="P913"/>
      <c r="Q913"/>
      <c r="R913"/>
      <c r="S913"/>
      <c r="T913"/>
      <c r="U913"/>
      <c r="V913"/>
      <c r="W913"/>
      <c r="X913"/>
      <c r="Y913"/>
      <c r="Z913"/>
      <c r="AA913"/>
      <c r="AB913"/>
      <c r="AC913"/>
      <c r="AD913"/>
      <c r="AE913"/>
      <c r="AF913"/>
      <c r="AG913"/>
      <c r="AH913"/>
      <c r="AI913"/>
    </row>
    <row r="914" spans="1:35" s="33" customFormat="1" ht="15.75">
      <c r="A914" s="175"/>
      <c r="B914" s="163"/>
      <c r="C914" s="123"/>
      <c r="D914" s="123"/>
      <c r="E914" s="32"/>
      <c r="F914"/>
      <c r="G914"/>
      <c r="H914"/>
      <c r="I914"/>
      <c r="J914"/>
      <c r="K914"/>
      <c r="L914"/>
      <c r="M914"/>
      <c r="N914"/>
      <c r="O914"/>
      <c r="P914"/>
      <c r="Q914"/>
      <c r="R914"/>
      <c r="S914"/>
      <c r="T914"/>
      <c r="U914"/>
      <c r="V914"/>
      <c r="W914"/>
      <c r="X914"/>
      <c r="Y914"/>
      <c r="Z914"/>
      <c r="AA914"/>
      <c r="AB914"/>
      <c r="AC914"/>
      <c r="AD914"/>
      <c r="AE914"/>
      <c r="AF914"/>
      <c r="AG914"/>
      <c r="AH914"/>
      <c r="AI914"/>
    </row>
    <row r="915" spans="1:35" s="33" customFormat="1" ht="15.75">
      <c r="A915" s="175"/>
      <c r="B915" s="163"/>
      <c r="C915" s="123"/>
      <c r="D915" s="123"/>
      <c r="E915" s="32"/>
      <c r="F915"/>
      <c r="G915"/>
      <c r="H915"/>
      <c r="I915"/>
      <c r="J915"/>
      <c r="K915"/>
      <c r="L915"/>
      <c r="M915"/>
      <c r="N915"/>
      <c r="O915"/>
      <c r="P915"/>
      <c r="Q915"/>
      <c r="R915"/>
      <c r="S915"/>
      <c r="T915"/>
      <c r="U915"/>
      <c r="V915"/>
      <c r="W915"/>
      <c r="X915"/>
      <c r="Y915"/>
      <c r="Z915"/>
      <c r="AA915"/>
      <c r="AB915"/>
      <c r="AC915"/>
      <c r="AD915"/>
      <c r="AE915"/>
      <c r="AF915"/>
      <c r="AG915"/>
      <c r="AH915"/>
      <c r="AI915"/>
    </row>
    <row r="916" spans="1:35" s="33" customFormat="1" ht="15.75">
      <c r="A916" s="175"/>
      <c r="B916" s="163"/>
      <c r="C916" s="123"/>
      <c r="D916" s="123"/>
      <c r="E916" s="32"/>
      <c r="F916"/>
      <c r="G916"/>
      <c r="H916"/>
      <c r="I916"/>
      <c r="J916"/>
      <c r="K916"/>
      <c r="L916"/>
      <c r="M916"/>
      <c r="N916"/>
      <c r="O916"/>
      <c r="P916"/>
      <c r="Q916"/>
      <c r="R916"/>
      <c r="S916"/>
      <c r="T916"/>
      <c r="U916"/>
      <c r="V916"/>
      <c r="W916"/>
      <c r="X916"/>
      <c r="Y916"/>
      <c r="Z916"/>
      <c r="AA916"/>
      <c r="AB916"/>
      <c r="AC916"/>
      <c r="AD916"/>
      <c r="AE916"/>
      <c r="AF916"/>
      <c r="AG916"/>
      <c r="AH916"/>
      <c r="AI916"/>
    </row>
    <row r="917" spans="1:35" s="33" customFormat="1" ht="15.75">
      <c r="A917" s="175"/>
      <c r="B917" s="163"/>
      <c r="C917" s="123"/>
      <c r="D917" s="123"/>
      <c r="E917" s="32"/>
      <c r="F917"/>
      <c r="G917"/>
      <c r="H917"/>
      <c r="I917"/>
      <c r="J917"/>
      <c r="K917"/>
      <c r="L917"/>
      <c r="M917"/>
      <c r="N917"/>
      <c r="O917"/>
      <c r="P917"/>
      <c r="Q917"/>
      <c r="R917"/>
      <c r="S917"/>
      <c r="T917"/>
      <c r="U917"/>
      <c r="V917"/>
      <c r="W917"/>
      <c r="X917"/>
      <c r="Y917"/>
      <c r="Z917"/>
      <c r="AA917"/>
      <c r="AB917"/>
      <c r="AC917"/>
      <c r="AD917"/>
      <c r="AE917"/>
      <c r="AF917"/>
      <c r="AG917"/>
      <c r="AH917"/>
      <c r="AI917"/>
    </row>
    <row r="918" spans="1:35" s="33" customFormat="1" ht="15.75">
      <c r="A918" s="175"/>
      <c r="B918" s="163"/>
      <c r="C918" s="123"/>
      <c r="D918" s="123"/>
      <c r="E918" s="32"/>
      <c r="F918"/>
      <c r="G918"/>
      <c r="H918"/>
      <c r="I918"/>
      <c r="J918"/>
      <c r="K918"/>
      <c r="L918"/>
      <c r="M918"/>
      <c r="N918"/>
      <c r="O918"/>
      <c r="P918"/>
      <c r="Q918"/>
      <c r="R918"/>
      <c r="S918"/>
      <c r="T918"/>
      <c r="U918"/>
      <c r="V918"/>
      <c r="W918"/>
      <c r="X918"/>
      <c r="Y918"/>
      <c r="Z918"/>
      <c r="AA918"/>
      <c r="AB918"/>
      <c r="AC918"/>
      <c r="AD918"/>
      <c r="AE918"/>
      <c r="AF918"/>
      <c r="AG918"/>
      <c r="AH918"/>
      <c r="AI918"/>
    </row>
    <row r="919" spans="1:35" s="33" customFormat="1" ht="15.75">
      <c r="A919" s="175"/>
      <c r="B919" s="163"/>
      <c r="C919" s="123"/>
      <c r="D919" s="123"/>
      <c r="E919" s="32"/>
      <c r="F919"/>
      <c r="G919"/>
      <c r="H919"/>
      <c r="I919"/>
      <c r="J919"/>
      <c r="K919"/>
      <c r="L919"/>
      <c r="M919"/>
      <c r="N919"/>
      <c r="O919"/>
      <c r="P919"/>
      <c r="Q919"/>
      <c r="R919"/>
      <c r="S919"/>
      <c r="T919"/>
      <c r="U919"/>
      <c r="V919"/>
      <c r="W919"/>
      <c r="X919"/>
      <c r="Y919"/>
      <c r="Z919"/>
      <c r="AA919"/>
      <c r="AB919"/>
      <c r="AC919"/>
      <c r="AD919"/>
      <c r="AE919"/>
      <c r="AF919"/>
      <c r="AG919"/>
      <c r="AH919"/>
      <c r="AI919"/>
    </row>
    <row r="920" spans="1:35" s="33" customFormat="1" ht="15.75">
      <c r="A920" s="175"/>
      <c r="B920" s="163"/>
      <c r="C920" s="123"/>
      <c r="D920" s="123"/>
      <c r="E920" s="32"/>
      <c r="F920"/>
      <c r="G920"/>
      <c r="H920"/>
      <c r="I920"/>
      <c r="J920"/>
      <c r="K920"/>
      <c r="L920"/>
      <c r="M920"/>
      <c r="N920"/>
      <c r="O920"/>
      <c r="P920"/>
      <c r="Q920"/>
      <c r="R920"/>
      <c r="S920"/>
      <c r="T920"/>
      <c r="U920"/>
      <c r="V920"/>
      <c r="W920"/>
      <c r="X920"/>
      <c r="Y920"/>
      <c r="Z920"/>
      <c r="AA920"/>
      <c r="AB920"/>
      <c r="AC920"/>
      <c r="AD920"/>
      <c r="AE920"/>
      <c r="AF920"/>
      <c r="AG920"/>
      <c r="AH920"/>
      <c r="AI920"/>
    </row>
    <row r="921" spans="1:35" s="33" customFormat="1" ht="15.75">
      <c r="A921" s="175"/>
      <c r="B921" s="163"/>
      <c r="C921" s="123"/>
      <c r="D921" s="123"/>
      <c r="E921" s="32"/>
      <c r="F921"/>
      <c r="G921"/>
      <c r="H921"/>
      <c r="I921"/>
      <c r="J921"/>
      <c r="K921"/>
      <c r="L921"/>
      <c r="M921"/>
      <c r="N921"/>
      <c r="O921"/>
      <c r="P921"/>
      <c r="Q921"/>
      <c r="R921"/>
      <c r="S921"/>
      <c r="T921"/>
      <c r="U921"/>
      <c r="V921"/>
      <c r="W921"/>
      <c r="X921"/>
      <c r="Y921"/>
      <c r="Z921"/>
      <c r="AA921"/>
      <c r="AB921"/>
      <c r="AC921"/>
      <c r="AD921"/>
      <c r="AE921"/>
      <c r="AF921"/>
      <c r="AG921"/>
      <c r="AH921"/>
      <c r="AI921"/>
    </row>
    <row r="922" spans="1:35" s="33" customFormat="1" ht="15.75">
      <c r="A922" s="175"/>
      <c r="B922" s="163"/>
      <c r="C922" s="123"/>
      <c r="D922" s="123"/>
      <c r="E922" s="32"/>
      <c r="F922"/>
      <c r="G922"/>
      <c r="H922"/>
      <c r="I922"/>
      <c r="J922"/>
      <c r="K922"/>
      <c r="L922"/>
      <c r="M922"/>
      <c r="N922"/>
      <c r="O922"/>
      <c r="P922"/>
      <c r="Q922"/>
      <c r="R922"/>
      <c r="S922"/>
      <c r="T922"/>
      <c r="U922"/>
      <c r="V922"/>
      <c r="W922"/>
      <c r="X922"/>
      <c r="Y922"/>
      <c r="Z922"/>
      <c r="AA922"/>
      <c r="AB922"/>
      <c r="AC922"/>
      <c r="AD922"/>
      <c r="AE922"/>
      <c r="AF922"/>
      <c r="AG922"/>
      <c r="AH922"/>
      <c r="AI922"/>
    </row>
    <row r="923" spans="1:35" s="33" customFormat="1" ht="15.75">
      <c r="A923" s="175"/>
      <c r="B923" s="163"/>
      <c r="C923" s="123"/>
      <c r="D923" s="123"/>
      <c r="E923" s="32"/>
      <c r="F923"/>
      <c r="G923"/>
      <c r="H923"/>
      <c r="I923"/>
      <c r="J923"/>
      <c r="K923"/>
      <c r="L923"/>
      <c r="M923"/>
      <c r="N923"/>
      <c r="O923"/>
      <c r="P923"/>
      <c r="Q923"/>
      <c r="R923"/>
      <c r="S923"/>
      <c r="T923"/>
      <c r="U923"/>
      <c r="V923"/>
      <c r="W923"/>
      <c r="X923"/>
      <c r="Y923"/>
      <c r="Z923"/>
      <c r="AA923"/>
      <c r="AB923"/>
      <c r="AC923"/>
      <c r="AD923"/>
      <c r="AE923"/>
      <c r="AF923"/>
      <c r="AG923"/>
      <c r="AH923"/>
      <c r="AI923"/>
    </row>
    <row r="924" spans="1:35" s="33" customFormat="1" ht="15.75">
      <c r="A924" s="175"/>
      <c r="B924" s="163"/>
      <c r="C924" s="123"/>
      <c r="D924" s="123"/>
      <c r="E924" s="32"/>
      <c r="F924"/>
      <c r="G924"/>
      <c r="H924"/>
      <c r="I924"/>
      <c r="J924"/>
      <c r="K924"/>
      <c r="L924"/>
      <c r="M924"/>
      <c r="N924"/>
      <c r="O924"/>
      <c r="P924"/>
      <c r="Q924"/>
      <c r="R924"/>
      <c r="S924"/>
      <c r="T924"/>
      <c r="U924"/>
      <c r="V924"/>
      <c r="W924"/>
      <c r="X924"/>
      <c r="Y924"/>
      <c r="Z924"/>
      <c r="AA924"/>
      <c r="AB924"/>
      <c r="AC924"/>
      <c r="AD924"/>
      <c r="AE924"/>
      <c r="AF924"/>
      <c r="AG924"/>
      <c r="AH924"/>
      <c r="AI924"/>
    </row>
    <row r="925" spans="1:35" s="33" customFormat="1" ht="15.75">
      <c r="A925" s="175"/>
      <c r="B925" s="163"/>
      <c r="C925" s="123"/>
      <c r="D925" s="123"/>
      <c r="E925" s="32"/>
      <c r="F925"/>
      <c r="G925"/>
      <c r="H925"/>
      <c r="I925"/>
      <c r="J925"/>
      <c r="K925"/>
      <c r="L925"/>
      <c r="M925"/>
      <c r="N925"/>
      <c r="O925"/>
      <c r="P925"/>
      <c r="Q925"/>
      <c r="R925"/>
      <c r="S925"/>
      <c r="T925"/>
      <c r="U925"/>
      <c r="V925"/>
      <c r="W925"/>
      <c r="X925"/>
      <c r="Y925"/>
      <c r="Z925"/>
      <c r="AA925"/>
      <c r="AB925"/>
      <c r="AC925"/>
      <c r="AD925"/>
      <c r="AE925"/>
      <c r="AF925"/>
      <c r="AG925"/>
      <c r="AH925"/>
      <c r="AI925"/>
    </row>
    <row r="926" spans="1:35" s="33" customFormat="1" ht="15.75">
      <c r="A926" s="175"/>
      <c r="B926" s="163"/>
      <c r="C926" s="123"/>
      <c r="D926" s="123"/>
      <c r="E926" s="32"/>
      <c r="F926"/>
      <c r="G926"/>
      <c r="H926"/>
      <c r="I926"/>
      <c r="J926"/>
      <c r="K926"/>
      <c r="L926"/>
      <c r="M926"/>
      <c r="N926"/>
      <c r="O926"/>
      <c r="P926"/>
      <c r="Q926"/>
      <c r="R926"/>
      <c r="S926"/>
      <c r="T926"/>
      <c r="U926"/>
      <c r="V926"/>
      <c r="W926"/>
      <c r="X926"/>
      <c r="Y926"/>
      <c r="Z926"/>
      <c r="AA926"/>
      <c r="AB926"/>
      <c r="AC926"/>
      <c r="AD926"/>
      <c r="AE926"/>
      <c r="AF926"/>
      <c r="AG926"/>
      <c r="AH926"/>
      <c r="AI926"/>
    </row>
    <row r="927" spans="1:35" s="33" customFormat="1" ht="15.75">
      <c r="A927" s="175"/>
      <c r="B927" s="163"/>
      <c r="C927" s="123"/>
      <c r="D927" s="123"/>
      <c r="E927" s="32"/>
      <c r="F927"/>
      <c r="G927"/>
      <c r="H927"/>
      <c r="I927"/>
      <c r="J927"/>
      <c r="K927"/>
      <c r="L927"/>
      <c r="M927"/>
      <c r="N927"/>
      <c r="O927"/>
      <c r="P927"/>
      <c r="Q927"/>
      <c r="R927"/>
      <c r="S927"/>
      <c r="T927"/>
      <c r="U927"/>
      <c r="V927"/>
      <c r="W927"/>
      <c r="X927"/>
      <c r="Y927"/>
      <c r="Z927"/>
      <c r="AA927"/>
      <c r="AB927"/>
      <c r="AC927"/>
      <c r="AD927"/>
      <c r="AE927"/>
      <c r="AF927"/>
      <c r="AG927"/>
      <c r="AH927"/>
      <c r="AI927"/>
    </row>
    <row r="928" spans="1:35" s="33" customFormat="1" ht="15.75">
      <c r="A928" s="175"/>
      <c r="B928" s="163"/>
      <c r="C928" s="123"/>
      <c r="D928" s="123"/>
      <c r="E928" s="32"/>
      <c r="F928"/>
      <c r="G928"/>
      <c r="H928"/>
      <c r="I928"/>
      <c r="J928"/>
      <c r="K928"/>
      <c r="L928"/>
      <c r="M928"/>
      <c r="N928"/>
      <c r="O928"/>
      <c r="P928"/>
      <c r="Q928"/>
      <c r="R928"/>
      <c r="S928"/>
      <c r="T928"/>
      <c r="U928"/>
      <c r="V928"/>
      <c r="W928"/>
      <c r="X928"/>
      <c r="Y928"/>
      <c r="Z928"/>
      <c r="AA928"/>
      <c r="AB928"/>
      <c r="AC928"/>
      <c r="AD928"/>
      <c r="AE928"/>
      <c r="AF928"/>
      <c r="AG928"/>
      <c r="AH928"/>
      <c r="AI928"/>
    </row>
    <row r="929" spans="1:35" s="33" customFormat="1" ht="15.75">
      <c r="A929" s="175"/>
      <c r="B929" s="163"/>
      <c r="C929" s="123"/>
      <c r="D929" s="123"/>
      <c r="E929" s="32"/>
      <c r="F929"/>
      <c r="G929"/>
      <c r="H929"/>
      <c r="I929"/>
      <c r="J929"/>
      <c r="K929"/>
      <c r="L929"/>
      <c r="M929"/>
      <c r="N929"/>
      <c r="O929"/>
      <c r="P929"/>
      <c r="Q929"/>
      <c r="R929"/>
      <c r="S929"/>
      <c r="T929"/>
      <c r="U929"/>
      <c r="V929"/>
      <c r="W929"/>
      <c r="X929"/>
      <c r="Y929"/>
      <c r="Z929"/>
      <c r="AA929"/>
      <c r="AB929"/>
      <c r="AC929"/>
      <c r="AD929"/>
      <c r="AE929"/>
      <c r="AF929"/>
      <c r="AG929"/>
      <c r="AH929"/>
      <c r="AI929"/>
    </row>
    <row r="930" spans="1:35" s="33" customFormat="1" ht="15.75">
      <c r="A930" s="175"/>
      <c r="B930" s="163"/>
      <c r="C930" s="123"/>
      <c r="D930" s="123"/>
      <c r="E930" s="32"/>
      <c r="F930"/>
      <c r="G930"/>
      <c r="H930"/>
      <c r="I930"/>
      <c r="J930"/>
      <c r="K930"/>
      <c r="L930"/>
      <c r="M930"/>
      <c r="N930"/>
      <c r="O930"/>
      <c r="P930"/>
      <c r="Q930"/>
      <c r="R930"/>
      <c r="S930"/>
      <c r="T930"/>
      <c r="U930"/>
      <c r="V930"/>
      <c r="W930"/>
      <c r="X930"/>
      <c r="Y930"/>
      <c r="Z930"/>
      <c r="AA930"/>
      <c r="AB930"/>
      <c r="AC930"/>
      <c r="AD930"/>
      <c r="AE930"/>
      <c r="AF930"/>
      <c r="AG930"/>
      <c r="AH930"/>
      <c r="AI930"/>
    </row>
    <row r="931" spans="1:35" s="33" customFormat="1" ht="15.75">
      <c r="A931" s="175"/>
      <c r="B931" s="163"/>
      <c r="C931" s="123"/>
      <c r="D931" s="123"/>
      <c r="E931" s="32"/>
      <c r="F931"/>
      <c r="G931"/>
      <c r="H931"/>
      <c r="I931"/>
      <c r="J931"/>
      <c r="K931"/>
      <c r="L931"/>
      <c r="M931"/>
      <c r="N931"/>
      <c r="O931"/>
      <c r="P931"/>
      <c r="Q931"/>
      <c r="R931"/>
      <c r="S931"/>
      <c r="T931"/>
      <c r="U931"/>
      <c r="V931"/>
      <c r="W931"/>
      <c r="X931"/>
      <c r="Y931"/>
      <c r="Z931"/>
      <c r="AA931"/>
      <c r="AB931"/>
      <c r="AC931"/>
      <c r="AD931"/>
      <c r="AE931"/>
      <c r="AF931"/>
      <c r="AG931"/>
      <c r="AH931"/>
      <c r="AI931"/>
    </row>
    <row r="932" spans="1:35" s="33" customFormat="1" ht="15.75">
      <c r="A932" s="175"/>
      <c r="B932" s="163"/>
      <c r="C932" s="123"/>
      <c r="D932" s="123"/>
      <c r="E932" s="32"/>
      <c r="F932"/>
      <c r="G932"/>
      <c r="H932"/>
      <c r="I932"/>
      <c r="J932"/>
      <c r="K932"/>
      <c r="L932"/>
      <c r="M932"/>
      <c r="N932"/>
      <c r="O932"/>
      <c r="P932"/>
      <c r="Q932"/>
      <c r="R932"/>
      <c r="S932"/>
      <c r="T932"/>
      <c r="U932"/>
      <c r="V932"/>
      <c r="W932"/>
      <c r="X932"/>
      <c r="Y932"/>
      <c r="Z932"/>
      <c r="AA932"/>
      <c r="AB932"/>
      <c r="AC932"/>
      <c r="AD932"/>
      <c r="AE932"/>
      <c r="AF932"/>
      <c r="AG932"/>
      <c r="AH932"/>
      <c r="AI932"/>
    </row>
    <row r="933" spans="1:35" s="33" customFormat="1" ht="15.75">
      <c r="A933" s="175"/>
      <c r="B933" s="163"/>
      <c r="C933" s="123"/>
      <c r="D933" s="123"/>
      <c r="E933" s="32"/>
      <c r="F933"/>
      <c r="G933"/>
      <c r="H933"/>
      <c r="I933"/>
      <c r="J933"/>
      <c r="K933"/>
      <c r="L933"/>
      <c r="M933"/>
      <c r="N933"/>
      <c r="O933"/>
      <c r="P933"/>
      <c r="Q933"/>
      <c r="R933"/>
      <c r="S933"/>
      <c r="T933"/>
      <c r="U933"/>
      <c r="V933"/>
      <c r="W933"/>
      <c r="X933"/>
      <c r="Y933"/>
      <c r="Z933"/>
      <c r="AA933"/>
      <c r="AB933"/>
      <c r="AC933"/>
      <c r="AD933"/>
      <c r="AE933"/>
      <c r="AF933"/>
      <c r="AG933"/>
      <c r="AH933"/>
      <c r="AI933"/>
    </row>
    <row r="934" spans="1:35" s="33" customFormat="1" ht="15.75">
      <c r="A934" s="175"/>
      <c r="B934" s="163"/>
      <c r="C934" s="123"/>
      <c r="D934" s="123"/>
      <c r="E934" s="32"/>
      <c r="F934"/>
      <c r="G934"/>
      <c r="H934"/>
      <c r="I934"/>
      <c r="J934"/>
      <c r="K934"/>
      <c r="L934"/>
      <c r="M934"/>
      <c r="N934"/>
      <c r="O934"/>
      <c r="P934"/>
      <c r="Q934"/>
      <c r="R934"/>
      <c r="S934"/>
      <c r="T934"/>
      <c r="U934"/>
      <c r="V934"/>
      <c r="W934"/>
      <c r="X934"/>
      <c r="Y934"/>
      <c r="Z934"/>
      <c r="AA934"/>
      <c r="AB934"/>
      <c r="AC934"/>
      <c r="AD934"/>
      <c r="AE934"/>
      <c r="AF934"/>
      <c r="AG934"/>
      <c r="AH934"/>
      <c r="AI934"/>
    </row>
    <row r="935" spans="1:35" s="33" customFormat="1" ht="15.75">
      <c r="A935" s="175"/>
      <c r="B935" s="163"/>
      <c r="C935" s="123"/>
      <c r="D935" s="123"/>
      <c r="E935" s="32"/>
      <c r="F935"/>
      <c r="G935"/>
      <c r="H935"/>
      <c r="I935"/>
      <c r="J935"/>
      <c r="K935"/>
      <c r="L935"/>
      <c r="M935"/>
      <c r="N935"/>
      <c r="O935"/>
      <c r="P935"/>
      <c r="Q935"/>
      <c r="R935"/>
      <c r="S935"/>
      <c r="T935"/>
      <c r="U935"/>
      <c r="V935"/>
      <c r="W935"/>
      <c r="X935"/>
      <c r="Y935"/>
      <c r="Z935"/>
      <c r="AA935"/>
      <c r="AB935"/>
      <c r="AC935"/>
      <c r="AD935"/>
      <c r="AE935"/>
      <c r="AF935"/>
      <c r="AG935"/>
      <c r="AH935"/>
      <c r="AI935"/>
    </row>
    <row r="936" spans="1:35" s="33" customFormat="1" ht="15.75">
      <c r="A936" s="175"/>
      <c r="B936" s="163"/>
      <c r="C936" s="123"/>
      <c r="D936" s="123"/>
      <c r="E936" s="32"/>
      <c r="F936"/>
      <c r="G936"/>
      <c r="H936"/>
      <c r="I936"/>
      <c r="J936"/>
      <c r="K936"/>
      <c r="L936"/>
      <c r="M936"/>
      <c r="N936"/>
      <c r="O936"/>
      <c r="P936"/>
      <c r="Q936"/>
      <c r="R936"/>
      <c r="S936"/>
      <c r="T936"/>
      <c r="U936"/>
      <c r="V936"/>
      <c r="W936"/>
      <c r="X936"/>
      <c r="Y936"/>
      <c r="Z936"/>
      <c r="AA936"/>
      <c r="AB936"/>
      <c r="AC936"/>
      <c r="AD936"/>
      <c r="AE936"/>
      <c r="AF936"/>
      <c r="AG936"/>
      <c r="AH936"/>
      <c r="AI936"/>
    </row>
    <row r="937" spans="1:35" s="33" customFormat="1" ht="15.75">
      <c r="A937" s="175"/>
      <c r="B937" s="163"/>
      <c r="C937" s="123"/>
      <c r="D937" s="123"/>
      <c r="E937" s="32"/>
      <c r="F937"/>
      <c r="G937"/>
      <c r="H937"/>
      <c r="I937"/>
      <c r="J937"/>
      <c r="K937"/>
      <c r="L937"/>
      <c r="M937"/>
      <c r="N937"/>
      <c r="O937"/>
      <c r="P937"/>
      <c r="Q937"/>
      <c r="R937"/>
      <c r="S937"/>
      <c r="T937"/>
      <c r="U937"/>
      <c r="V937"/>
      <c r="W937"/>
      <c r="X937"/>
      <c r="Y937"/>
      <c r="Z937"/>
      <c r="AA937"/>
      <c r="AB937"/>
      <c r="AC937"/>
      <c r="AD937"/>
      <c r="AE937"/>
      <c r="AF937"/>
      <c r="AG937"/>
      <c r="AH937"/>
      <c r="AI937"/>
    </row>
    <row r="938" spans="1:35" s="33" customFormat="1" ht="15.75">
      <c r="A938" s="175"/>
      <c r="B938" s="163"/>
      <c r="C938" s="123"/>
      <c r="D938" s="123"/>
      <c r="E938" s="32"/>
      <c r="F938"/>
      <c r="G938"/>
      <c r="H938"/>
      <c r="I938"/>
      <c r="J938"/>
      <c r="K938"/>
      <c r="L938"/>
      <c r="M938"/>
      <c r="N938"/>
      <c r="O938"/>
      <c r="P938"/>
      <c r="Q938"/>
      <c r="R938"/>
      <c r="S938"/>
      <c r="T938"/>
      <c r="U938"/>
      <c r="V938"/>
      <c r="W938"/>
      <c r="X938"/>
      <c r="Y938"/>
      <c r="Z938"/>
      <c r="AA938"/>
      <c r="AB938"/>
      <c r="AC938"/>
      <c r="AD938"/>
      <c r="AE938"/>
      <c r="AF938"/>
      <c r="AG938"/>
      <c r="AH938"/>
      <c r="AI938"/>
    </row>
    <row r="939" spans="1:35" s="33" customFormat="1" ht="15.75">
      <c r="A939" s="175"/>
      <c r="B939" s="163"/>
      <c r="C939" s="123"/>
      <c r="D939" s="123"/>
      <c r="E939" s="32"/>
      <c r="F939"/>
      <c r="G939"/>
      <c r="H939"/>
      <c r="I939"/>
      <c r="J939"/>
      <c r="K939"/>
      <c r="L939"/>
      <c r="M939"/>
      <c r="N939"/>
      <c r="O939"/>
      <c r="P939"/>
      <c r="Q939"/>
      <c r="R939"/>
      <c r="S939"/>
      <c r="T939"/>
      <c r="U939"/>
      <c r="V939"/>
      <c r="W939"/>
      <c r="X939"/>
      <c r="Y939"/>
      <c r="Z939"/>
      <c r="AA939"/>
      <c r="AB939"/>
      <c r="AC939"/>
      <c r="AD939"/>
      <c r="AE939"/>
      <c r="AF939"/>
      <c r="AG939"/>
      <c r="AH939"/>
      <c r="AI939"/>
    </row>
    <row r="940" spans="1:35" s="33" customFormat="1" ht="15.75">
      <c r="A940" s="175"/>
      <c r="B940" s="163"/>
      <c r="C940" s="123"/>
      <c r="D940" s="123"/>
      <c r="E940" s="32"/>
      <c r="F940"/>
      <c r="G940"/>
      <c r="H940"/>
      <c r="I940"/>
      <c r="J940"/>
      <c r="K940"/>
      <c r="L940"/>
      <c r="M940"/>
      <c r="N940"/>
      <c r="O940"/>
      <c r="P940"/>
      <c r="Q940"/>
      <c r="R940"/>
      <c r="S940"/>
      <c r="T940"/>
      <c r="U940"/>
      <c r="V940"/>
      <c r="W940"/>
      <c r="X940"/>
      <c r="Y940"/>
      <c r="Z940"/>
      <c r="AA940"/>
      <c r="AB940"/>
      <c r="AC940"/>
      <c r="AD940"/>
      <c r="AE940"/>
      <c r="AF940"/>
      <c r="AG940"/>
      <c r="AH940"/>
      <c r="AI940"/>
    </row>
    <row r="941" spans="1:35" s="33" customFormat="1" ht="15.75">
      <c r="A941" s="175"/>
      <c r="B941" s="163"/>
      <c r="C941" s="123"/>
      <c r="D941" s="123"/>
      <c r="E941" s="32"/>
      <c r="F941"/>
      <c r="G941"/>
      <c r="H941"/>
      <c r="I941"/>
      <c r="J941"/>
      <c r="K941"/>
      <c r="L941"/>
      <c r="M941"/>
      <c r="N941"/>
      <c r="O941"/>
      <c r="P941"/>
      <c r="Q941"/>
      <c r="R941"/>
      <c r="S941"/>
      <c r="T941"/>
      <c r="U941"/>
      <c r="V941"/>
      <c r="W941"/>
      <c r="X941"/>
      <c r="Y941"/>
      <c r="Z941"/>
      <c r="AA941"/>
      <c r="AB941"/>
      <c r="AC941"/>
      <c r="AD941"/>
      <c r="AE941"/>
      <c r="AF941"/>
      <c r="AG941"/>
      <c r="AH941"/>
      <c r="AI941"/>
    </row>
    <row r="942" spans="1:35" s="33" customFormat="1" ht="15.75">
      <c r="A942" s="175"/>
      <c r="B942" s="163"/>
      <c r="C942" s="123"/>
      <c r="D942" s="123"/>
      <c r="E942" s="32"/>
      <c r="F942"/>
      <c r="G942"/>
      <c r="H942"/>
      <c r="I942"/>
      <c r="J942"/>
      <c r="K942"/>
      <c r="L942"/>
      <c r="M942"/>
      <c r="N942"/>
      <c r="O942"/>
      <c r="P942"/>
      <c r="Q942"/>
      <c r="R942"/>
      <c r="S942"/>
      <c r="T942"/>
      <c r="U942"/>
      <c r="V942"/>
      <c r="W942"/>
      <c r="X942"/>
      <c r="Y942"/>
      <c r="Z942"/>
      <c r="AA942"/>
      <c r="AB942"/>
      <c r="AC942"/>
      <c r="AD942"/>
      <c r="AE942"/>
      <c r="AF942"/>
      <c r="AG942"/>
      <c r="AH942"/>
      <c r="AI942"/>
    </row>
    <row r="943" spans="1:35" s="33" customFormat="1" ht="15.75">
      <c r="A943" s="175"/>
      <c r="B943" s="163"/>
      <c r="C943" s="123"/>
      <c r="D943" s="123"/>
      <c r="E943" s="32"/>
      <c r="F943"/>
      <c r="G943"/>
      <c r="H943"/>
      <c r="I943"/>
      <c r="J943"/>
      <c r="K943"/>
      <c r="L943"/>
      <c r="M943"/>
      <c r="N943"/>
      <c r="O943"/>
      <c r="P943"/>
      <c r="Q943"/>
      <c r="R943"/>
      <c r="S943"/>
      <c r="T943"/>
      <c r="U943"/>
      <c r="V943"/>
      <c r="W943"/>
      <c r="X943"/>
      <c r="Y943"/>
      <c r="Z943"/>
      <c r="AA943"/>
      <c r="AB943"/>
      <c r="AC943"/>
      <c r="AD943"/>
      <c r="AE943"/>
      <c r="AF943"/>
      <c r="AG943"/>
      <c r="AH943"/>
      <c r="AI943"/>
    </row>
    <row r="944" spans="1:35" s="33" customFormat="1" ht="15.75">
      <c r="A944" s="175"/>
      <c r="B944" s="163"/>
      <c r="C944" s="123"/>
      <c r="D944" s="123"/>
      <c r="E944" s="32"/>
      <c r="F944"/>
      <c r="G944"/>
      <c r="H944"/>
      <c r="I944"/>
      <c r="J944"/>
      <c r="K944"/>
      <c r="L944"/>
      <c r="M944"/>
      <c r="N944"/>
      <c r="O944"/>
      <c r="P944"/>
      <c r="Q944"/>
      <c r="R944"/>
      <c r="S944"/>
      <c r="T944"/>
      <c r="U944"/>
      <c r="V944"/>
      <c r="W944"/>
      <c r="X944"/>
      <c r="Y944"/>
      <c r="Z944"/>
      <c r="AA944"/>
      <c r="AB944"/>
      <c r="AC944"/>
      <c r="AD944"/>
      <c r="AE944"/>
      <c r="AF944"/>
      <c r="AG944"/>
      <c r="AH944"/>
      <c r="AI944"/>
    </row>
    <row r="945" spans="1:35" s="33" customFormat="1" ht="15.75">
      <c r="A945" s="175"/>
      <c r="B945" s="163"/>
      <c r="C945" s="123"/>
      <c r="D945" s="123"/>
      <c r="E945" s="32"/>
      <c r="F945"/>
      <c r="G945"/>
      <c r="H945"/>
      <c r="I945"/>
      <c r="J945"/>
      <c r="K945"/>
      <c r="L945"/>
      <c r="M945"/>
      <c r="N945"/>
      <c r="O945"/>
      <c r="P945"/>
      <c r="Q945"/>
      <c r="R945"/>
      <c r="S945"/>
      <c r="T945"/>
      <c r="U945"/>
      <c r="V945"/>
      <c r="W945"/>
      <c r="X945"/>
      <c r="Y945"/>
      <c r="Z945"/>
      <c r="AA945"/>
      <c r="AB945"/>
      <c r="AC945"/>
      <c r="AD945"/>
      <c r="AE945"/>
      <c r="AF945"/>
      <c r="AG945"/>
      <c r="AH945"/>
      <c r="AI945"/>
    </row>
    <row r="946" spans="1:35" s="33" customFormat="1" ht="15.75">
      <c r="A946" s="175"/>
      <c r="B946" s="163"/>
      <c r="C946" s="123"/>
      <c r="D946" s="123"/>
      <c r="E946" s="32"/>
      <c r="F946"/>
      <c r="G946"/>
      <c r="H946"/>
      <c r="I946"/>
      <c r="J946"/>
      <c r="K946"/>
      <c r="L946"/>
      <c r="M946"/>
      <c r="N946"/>
      <c r="O946"/>
      <c r="P946"/>
      <c r="Q946"/>
      <c r="R946"/>
      <c r="S946"/>
      <c r="T946"/>
      <c r="U946"/>
      <c r="V946"/>
      <c r="W946"/>
      <c r="X946"/>
      <c r="Y946"/>
      <c r="Z946"/>
      <c r="AA946"/>
      <c r="AB946"/>
      <c r="AC946"/>
      <c r="AD946"/>
      <c r="AE946"/>
      <c r="AF946"/>
      <c r="AG946"/>
      <c r="AH946"/>
      <c r="AI946"/>
    </row>
    <row r="947" spans="1:35" s="33" customFormat="1" ht="15.75">
      <c r="A947" s="175"/>
      <c r="B947" s="163"/>
      <c r="C947" s="123"/>
      <c r="D947" s="123"/>
      <c r="E947" s="32"/>
      <c r="F947"/>
      <c r="G947"/>
      <c r="H947"/>
      <c r="I947"/>
      <c r="J947"/>
      <c r="K947"/>
      <c r="L947"/>
      <c r="M947"/>
      <c r="N947"/>
      <c r="O947"/>
      <c r="P947"/>
      <c r="Q947"/>
      <c r="R947"/>
      <c r="S947"/>
      <c r="T947"/>
      <c r="U947"/>
      <c r="V947"/>
      <c r="W947"/>
      <c r="X947"/>
      <c r="Y947"/>
      <c r="Z947"/>
      <c r="AA947"/>
      <c r="AB947"/>
      <c r="AC947"/>
      <c r="AD947"/>
      <c r="AE947"/>
      <c r="AF947"/>
      <c r="AG947"/>
      <c r="AH947"/>
      <c r="AI947"/>
    </row>
    <row r="948" spans="1:35" s="33" customFormat="1" ht="15.75">
      <c r="A948" s="175"/>
      <c r="B948" s="163"/>
      <c r="C948" s="123"/>
      <c r="D948" s="123"/>
      <c r="E948" s="32"/>
      <c r="F948"/>
      <c r="G948"/>
      <c r="H948"/>
      <c r="I948"/>
      <c r="J948"/>
      <c r="K948"/>
      <c r="L948"/>
      <c r="M948"/>
      <c r="N948"/>
      <c r="O948"/>
      <c r="P948"/>
      <c r="Q948"/>
      <c r="R948"/>
      <c r="S948"/>
      <c r="T948"/>
      <c r="U948"/>
      <c r="V948"/>
      <c r="W948"/>
      <c r="X948"/>
      <c r="Y948"/>
      <c r="Z948"/>
      <c r="AA948"/>
      <c r="AB948"/>
      <c r="AC948"/>
      <c r="AD948"/>
      <c r="AE948"/>
      <c r="AF948"/>
      <c r="AG948"/>
      <c r="AH948"/>
      <c r="AI948"/>
    </row>
    <row r="949" spans="1:35" s="33" customFormat="1" ht="15.75">
      <c r="A949" s="175"/>
      <c r="B949" s="163"/>
      <c r="C949" s="123"/>
      <c r="D949" s="123"/>
      <c r="E949" s="32"/>
      <c r="F949"/>
      <c r="G949"/>
      <c r="H949"/>
      <c r="I949"/>
      <c r="J949"/>
      <c r="K949"/>
      <c r="L949"/>
      <c r="M949"/>
      <c r="N949"/>
      <c r="O949"/>
      <c r="P949"/>
      <c r="Q949"/>
      <c r="R949"/>
      <c r="S949"/>
      <c r="T949"/>
      <c r="U949"/>
      <c r="V949"/>
      <c r="W949"/>
      <c r="X949"/>
      <c r="Y949"/>
      <c r="Z949"/>
      <c r="AA949"/>
      <c r="AB949"/>
      <c r="AC949"/>
      <c r="AD949"/>
      <c r="AE949"/>
      <c r="AF949"/>
      <c r="AG949"/>
      <c r="AH949"/>
      <c r="AI949"/>
    </row>
    <row r="950" spans="1:35" s="33" customFormat="1" ht="15.75">
      <c r="A950" s="175"/>
      <c r="B950" s="163"/>
      <c r="C950" s="123"/>
      <c r="D950" s="123"/>
      <c r="E950" s="32"/>
      <c r="F950"/>
      <c r="G950"/>
      <c r="H950"/>
      <c r="I950"/>
      <c r="J950"/>
      <c r="K950"/>
      <c r="L950"/>
      <c r="M950"/>
      <c r="N950"/>
      <c r="O950"/>
      <c r="P950"/>
      <c r="Q950"/>
      <c r="R950"/>
      <c r="S950"/>
      <c r="T950"/>
      <c r="U950"/>
      <c r="V950"/>
      <c r="W950"/>
      <c r="X950"/>
      <c r="Y950"/>
      <c r="Z950"/>
      <c r="AA950"/>
      <c r="AB950"/>
      <c r="AC950"/>
      <c r="AD950"/>
      <c r="AE950"/>
      <c r="AF950"/>
      <c r="AG950"/>
      <c r="AH950"/>
      <c r="AI950"/>
    </row>
    <row r="951" spans="1:35" s="33" customFormat="1" ht="15.75">
      <c r="A951" s="175"/>
      <c r="B951" s="163"/>
      <c r="C951" s="123"/>
      <c r="D951" s="123"/>
      <c r="E951" s="32"/>
      <c r="F951"/>
      <c r="G951"/>
      <c r="H951"/>
      <c r="I951"/>
      <c r="J951"/>
      <c r="K951"/>
      <c r="L951"/>
      <c r="M951"/>
      <c r="N951"/>
      <c r="O951"/>
      <c r="P951"/>
      <c r="Q951"/>
      <c r="R951"/>
      <c r="S951"/>
      <c r="T951"/>
      <c r="U951"/>
      <c r="V951"/>
      <c r="W951"/>
      <c r="X951"/>
      <c r="Y951"/>
      <c r="Z951"/>
      <c r="AA951"/>
      <c r="AB951"/>
      <c r="AC951"/>
      <c r="AD951"/>
      <c r="AE951"/>
      <c r="AF951"/>
      <c r="AG951"/>
      <c r="AH951"/>
      <c r="AI951"/>
    </row>
    <row r="952" spans="1:35" s="33" customFormat="1" ht="15.75">
      <c r="A952" s="175"/>
      <c r="B952" s="163"/>
      <c r="C952" s="123"/>
      <c r="D952" s="123"/>
      <c r="E952" s="32"/>
      <c r="F952"/>
      <c r="G952"/>
      <c r="H952"/>
      <c r="I952"/>
      <c r="J952"/>
      <c r="K952"/>
      <c r="L952"/>
      <c r="M952"/>
      <c r="N952"/>
      <c r="O952"/>
      <c r="P952"/>
      <c r="Q952"/>
      <c r="R952"/>
      <c r="S952"/>
      <c r="T952"/>
      <c r="U952"/>
      <c r="V952"/>
      <c r="W952"/>
      <c r="X952"/>
      <c r="Y952"/>
      <c r="Z952"/>
      <c r="AA952"/>
      <c r="AB952"/>
      <c r="AC952"/>
      <c r="AD952"/>
      <c r="AE952"/>
      <c r="AF952"/>
      <c r="AG952"/>
      <c r="AH952"/>
      <c r="AI952"/>
    </row>
    <row r="953" spans="1:35" s="33" customFormat="1" ht="15.75">
      <c r="A953" s="175"/>
      <c r="B953" s="163"/>
      <c r="C953" s="123"/>
      <c r="D953" s="123"/>
      <c r="E953" s="32"/>
      <c r="F953"/>
      <c r="G953"/>
      <c r="H953"/>
      <c r="I953"/>
      <c r="J953"/>
      <c r="K953"/>
      <c r="L953"/>
      <c r="M953"/>
      <c r="N953"/>
      <c r="O953"/>
      <c r="P953"/>
      <c r="Q953"/>
      <c r="R953"/>
      <c r="S953"/>
      <c r="T953"/>
      <c r="U953"/>
      <c r="V953"/>
      <c r="W953"/>
      <c r="X953"/>
      <c r="Y953"/>
      <c r="Z953"/>
      <c r="AA953"/>
      <c r="AB953"/>
      <c r="AC953"/>
      <c r="AD953"/>
      <c r="AE953"/>
      <c r="AF953"/>
      <c r="AG953"/>
      <c r="AH953"/>
      <c r="AI953"/>
    </row>
    <row r="954" spans="1:35" s="33" customFormat="1" ht="15.75">
      <c r="A954" s="175"/>
      <c r="B954" s="163"/>
      <c r="C954" s="123"/>
      <c r="D954" s="123"/>
      <c r="E954" s="32"/>
      <c r="F954"/>
      <c r="G954"/>
      <c r="H954"/>
      <c r="I954"/>
      <c r="J954"/>
      <c r="K954"/>
      <c r="L954"/>
      <c r="M954"/>
      <c r="N954"/>
      <c r="O954"/>
      <c r="P954"/>
      <c r="Q954"/>
      <c r="R954"/>
      <c r="S954"/>
      <c r="T954"/>
      <c r="U954"/>
      <c r="V954"/>
      <c r="W954"/>
      <c r="X954"/>
      <c r="Y954"/>
      <c r="Z954"/>
      <c r="AA954"/>
      <c r="AB954"/>
      <c r="AC954"/>
      <c r="AD954"/>
      <c r="AE954"/>
      <c r="AF954"/>
      <c r="AG954"/>
      <c r="AH954"/>
      <c r="AI954"/>
    </row>
    <row r="955" spans="1:35" s="33" customFormat="1" ht="15.75">
      <c r="A955" s="175"/>
      <c r="B955" s="163"/>
      <c r="C955" s="123"/>
      <c r="D955" s="123"/>
      <c r="E955" s="32"/>
      <c r="F955"/>
      <c r="G955"/>
      <c r="H955"/>
      <c r="I955"/>
      <c r="J955"/>
      <c r="K955"/>
      <c r="L955"/>
      <c r="M955"/>
      <c r="N955"/>
      <c r="O955"/>
      <c r="P955"/>
      <c r="Q955"/>
      <c r="R955"/>
      <c r="S955"/>
      <c r="T955"/>
      <c r="U955"/>
      <c r="V955"/>
      <c r="W955"/>
      <c r="X955"/>
      <c r="Y955"/>
      <c r="Z955"/>
      <c r="AA955"/>
      <c r="AB955"/>
      <c r="AC955"/>
      <c r="AD955"/>
      <c r="AE955"/>
      <c r="AF955"/>
      <c r="AG955"/>
      <c r="AH955"/>
      <c r="AI955"/>
    </row>
    <row r="956" spans="1:35" s="33" customFormat="1" ht="15.75">
      <c r="A956" s="175"/>
      <c r="B956" s="163"/>
      <c r="C956" s="123"/>
      <c r="D956" s="123"/>
      <c r="E956" s="32"/>
      <c r="F956"/>
      <c r="G956"/>
      <c r="H956"/>
      <c r="I956"/>
      <c r="J956"/>
      <c r="K956"/>
      <c r="L956"/>
      <c r="M956"/>
      <c r="N956"/>
      <c r="O956"/>
      <c r="P956"/>
      <c r="Q956"/>
      <c r="R956"/>
      <c r="S956"/>
      <c r="T956"/>
      <c r="U956"/>
      <c r="V956"/>
      <c r="W956"/>
      <c r="X956"/>
      <c r="Y956"/>
      <c r="Z956"/>
      <c r="AA956"/>
      <c r="AB956"/>
      <c r="AC956"/>
      <c r="AD956"/>
      <c r="AE956"/>
      <c r="AF956"/>
      <c r="AG956"/>
      <c r="AH956"/>
      <c r="AI956"/>
    </row>
    <row r="957" spans="1:35" s="33" customFormat="1" ht="15.75">
      <c r="A957" s="175"/>
      <c r="B957" s="163"/>
      <c r="C957" s="123"/>
      <c r="D957" s="123"/>
      <c r="E957" s="32"/>
      <c r="F957"/>
      <c r="G957"/>
      <c r="H957"/>
      <c r="I957"/>
      <c r="J957"/>
      <c r="K957"/>
      <c r="L957"/>
      <c r="M957"/>
      <c r="N957"/>
      <c r="O957"/>
      <c r="P957"/>
      <c r="Q957"/>
      <c r="R957"/>
      <c r="S957"/>
      <c r="T957"/>
      <c r="U957"/>
      <c r="V957"/>
      <c r="W957"/>
      <c r="X957"/>
      <c r="Y957"/>
      <c r="Z957"/>
      <c r="AA957"/>
      <c r="AB957"/>
      <c r="AC957"/>
      <c r="AD957"/>
      <c r="AE957"/>
      <c r="AF957"/>
      <c r="AG957"/>
      <c r="AH957"/>
      <c r="AI957"/>
    </row>
    <row r="958" spans="1:35" s="33" customFormat="1" ht="15.75">
      <c r="A958" s="175"/>
      <c r="B958" s="163"/>
      <c r="C958" s="123"/>
      <c r="D958" s="123"/>
      <c r="E958" s="32"/>
      <c r="F958"/>
      <c r="G958"/>
      <c r="H958"/>
      <c r="I958"/>
      <c r="J958"/>
      <c r="K958"/>
      <c r="L958"/>
      <c r="M958"/>
      <c r="N958"/>
      <c r="O958"/>
      <c r="P958"/>
      <c r="Q958"/>
      <c r="R958"/>
      <c r="S958"/>
      <c r="T958"/>
      <c r="U958"/>
      <c r="V958"/>
      <c r="W958"/>
      <c r="X958"/>
      <c r="Y958"/>
      <c r="Z958"/>
      <c r="AA958"/>
      <c r="AB958"/>
      <c r="AC958"/>
      <c r="AD958"/>
      <c r="AE958"/>
      <c r="AF958"/>
      <c r="AG958"/>
      <c r="AH958"/>
      <c r="AI958"/>
    </row>
    <row r="959" spans="1:35" s="33" customFormat="1" ht="15.75">
      <c r="A959" s="175"/>
      <c r="B959" s="163"/>
      <c r="C959" s="123"/>
      <c r="D959" s="123"/>
      <c r="E959" s="32"/>
      <c r="F959"/>
      <c r="G959"/>
      <c r="H959"/>
      <c r="I959"/>
      <c r="J959"/>
      <c r="K959"/>
      <c r="L959"/>
      <c r="M959"/>
      <c r="N959"/>
      <c r="O959"/>
      <c r="P959"/>
      <c r="Q959"/>
      <c r="R959"/>
      <c r="S959"/>
      <c r="T959"/>
      <c r="U959"/>
      <c r="V959"/>
      <c r="W959"/>
      <c r="X959"/>
      <c r="Y959"/>
      <c r="Z959"/>
      <c r="AA959"/>
      <c r="AB959"/>
      <c r="AC959"/>
      <c r="AD959"/>
      <c r="AE959"/>
      <c r="AF959"/>
      <c r="AG959"/>
      <c r="AH959"/>
      <c r="AI959"/>
    </row>
    <row r="960" spans="1:35" s="33" customFormat="1" ht="15.75">
      <c r="A960" s="175"/>
      <c r="B960" s="163"/>
      <c r="C960" s="123"/>
      <c r="D960" s="123"/>
      <c r="E960" s="32"/>
      <c r="F960"/>
      <c r="G960"/>
      <c r="H960"/>
      <c r="I960"/>
      <c r="J960"/>
      <c r="K960"/>
      <c r="L960"/>
      <c r="M960"/>
      <c r="N960"/>
      <c r="O960"/>
      <c r="P960"/>
      <c r="Q960"/>
      <c r="R960"/>
      <c r="S960"/>
      <c r="T960"/>
      <c r="U960"/>
      <c r="V960"/>
      <c r="W960"/>
      <c r="X960"/>
      <c r="Y960"/>
      <c r="Z960"/>
      <c r="AA960"/>
      <c r="AB960"/>
      <c r="AC960"/>
      <c r="AD960"/>
      <c r="AE960"/>
      <c r="AF960"/>
      <c r="AG960"/>
      <c r="AH960"/>
      <c r="AI960"/>
    </row>
    <row r="961" spans="1:35" s="33" customFormat="1" ht="15.75">
      <c r="A961" s="175"/>
      <c r="B961" s="163"/>
      <c r="C961" s="123"/>
      <c r="D961" s="123"/>
      <c r="E961" s="32"/>
      <c r="F961"/>
      <c r="G961"/>
      <c r="H961"/>
      <c r="I961"/>
      <c r="J961"/>
      <c r="K961"/>
      <c r="L961"/>
      <c r="M961"/>
      <c r="N961"/>
      <c r="O961"/>
      <c r="P961"/>
      <c r="Q961"/>
      <c r="R961"/>
      <c r="S961"/>
      <c r="T961"/>
      <c r="U961"/>
      <c r="V961"/>
      <c r="W961"/>
      <c r="X961"/>
      <c r="Y961"/>
      <c r="Z961"/>
      <c r="AA961"/>
      <c r="AB961"/>
      <c r="AC961"/>
      <c r="AD961"/>
      <c r="AE961"/>
      <c r="AF961"/>
      <c r="AG961"/>
      <c r="AH961"/>
      <c r="AI961"/>
    </row>
    <row r="962" spans="1:35" s="33" customFormat="1" ht="15.75">
      <c r="A962" s="175"/>
      <c r="B962" s="163"/>
      <c r="C962" s="123"/>
      <c r="D962" s="123"/>
      <c r="E962" s="32"/>
      <c r="F962"/>
      <c r="G962"/>
      <c r="H962"/>
      <c r="I962"/>
      <c r="J962"/>
      <c r="K962"/>
      <c r="L962"/>
      <c r="M962"/>
      <c r="N962"/>
      <c r="O962"/>
      <c r="P962"/>
      <c r="Q962"/>
      <c r="R962"/>
      <c r="S962"/>
      <c r="T962"/>
      <c r="U962"/>
      <c r="V962"/>
      <c r="W962"/>
      <c r="X962"/>
      <c r="Y962"/>
      <c r="Z962"/>
      <c r="AA962"/>
      <c r="AB962"/>
      <c r="AC962"/>
      <c r="AD962"/>
      <c r="AE962"/>
      <c r="AF962"/>
      <c r="AG962"/>
      <c r="AH962"/>
      <c r="AI962"/>
    </row>
    <row r="963" spans="1:35" s="33" customFormat="1" ht="15.75">
      <c r="A963" s="175"/>
      <c r="B963" s="163"/>
      <c r="C963" s="123"/>
      <c r="D963" s="123"/>
      <c r="E963" s="32"/>
      <c r="F963"/>
      <c r="G963"/>
      <c r="H963"/>
      <c r="I963"/>
      <c r="J963"/>
      <c r="K963"/>
      <c r="L963"/>
      <c r="M963"/>
      <c r="N963"/>
      <c r="O963"/>
      <c r="P963"/>
      <c r="Q963"/>
      <c r="R963"/>
      <c r="S963"/>
      <c r="T963"/>
      <c r="U963"/>
      <c r="V963"/>
      <c r="W963"/>
      <c r="X963"/>
      <c r="Y963"/>
      <c r="Z963"/>
      <c r="AA963"/>
      <c r="AB963"/>
      <c r="AC963"/>
      <c r="AD963"/>
      <c r="AE963"/>
      <c r="AF963"/>
      <c r="AG963"/>
      <c r="AH963"/>
      <c r="AI963"/>
    </row>
    <row r="964" spans="1:35" s="33" customFormat="1" ht="15.75">
      <c r="A964" s="175"/>
      <c r="B964" s="163"/>
      <c r="C964" s="123"/>
      <c r="D964" s="123"/>
      <c r="E964" s="32"/>
      <c r="F964"/>
      <c r="G964"/>
      <c r="H964"/>
      <c r="I964"/>
      <c r="J964"/>
      <c r="K964"/>
      <c r="L964"/>
      <c r="M964"/>
      <c r="N964"/>
      <c r="O964"/>
      <c r="P964"/>
      <c r="Q964"/>
      <c r="R964"/>
      <c r="S964"/>
      <c r="T964"/>
      <c r="U964"/>
      <c r="V964"/>
      <c r="W964"/>
      <c r="X964"/>
      <c r="Y964"/>
      <c r="Z964"/>
      <c r="AA964"/>
      <c r="AB964"/>
      <c r="AC964"/>
      <c r="AD964"/>
      <c r="AE964"/>
      <c r="AF964"/>
      <c r="AG964"/>
      <c r="AH964"/>
      <c r="AI964"/>
    </row>
    <row r="965" spans="1:35" s="33" customFormat="1" ht="15.75">
      <c r="A965" s="175"/>
      <c r="B965" s="163"/>
      <c r="C965" s="123"/>
      <c r="D965" s="123"/>
      <c r="E965" s="32"/>
      <c r="F965"/>
      <c r="G965"/>
      <c r="H965"/>
      <c r="I965"/>
      <c r="J965"/>
      <c r="K965"/>
      <c r="L965"/>
      <c r="M965"/>
      <c r="N965"/>
      <c r="O965"/>
      <c r="P965"/>
      <c r="Q965"/>
      <c r="R965"/>
      <c r="S965"/>
      <c r="T965"/>
      <c r="U965"/>
      <c r="V965"/>
      <c r="W965"/>
      <c r="X965"/>
      <c r="Y965"/>
      <c r="Z965"/>
      <c r="AA965"/>
      <c r="AB965"/>
      <c r="AC965"/>
      <c r="AD965"/>
      <c r="AE965"/>
      <c r="AF965"/>
      <c r="AG965"/>
      <c r="AH965"/>
      <c r="AI965"/>
    </row>
    <row r="966" spans="1:35" s="33" customFormat="1" ht="15.75">
      <c r="A966" s="175"/>
      <c r="B966" s="163"/>
      <c r="C966" s="123"/>
      <c r="D966" s="123"/>
      <c r="E966" s="32"/>
      <c r="F966"/>
      <c r="G966"/>
      <c r="H966"/>
      <c r="I966"/>
      <c r="J966"/>
      <c r="K966"/>
      <c r="L966"/>
      <c r="M966"/>
      <c r="N966"/>
      <c r="O966"/>
      <c r="P966"/>
      <c r="Q966"/>
      <c r="R966"/>
      <c r="S966"/>
      <c r="T966"/>
      <c r="U966"/>
      <c r="V966"/>
      <c r="W966"/>
      <c r="X966"/>
      <c r="Y966"/>
      <c r="Z966"/>
      <c r="AA966"/>
      <c r="AB966"/>
      <c r="AC966"/>
      <c r="AD966"/>
      <c r="AE966"/>
      <c r="AF966"/>
      <c r="AG966"/>
      <c r="AH966"/>
      <c r="AI966"/>
    </row>
    <row r="967" spans="1:35" s="33" customFormat="1" ht="15.75">
      <c r="A967" s="175"/>
      <c r="B967" s="163"/>
      <c r="C967" s="123"/>
      <c r="D967" s="123"/>
      <c r="E967" s="32"/>
      <c r="F967"/>
      <c r="G967"/>
      <c r="H967"/>
      <c r="I967"/>
      <c r="J967"/>
      <c r="K967"/>
      <c r="L967"/>
      <c r="M967"/>
      <c r="N967"/>
      <c r="O967"/>
      <c r="P967"/>
      <c r="Q967"/>
      <c r="R967"/>
      <c r="S967"/>
      <c r="T967"/>
      <c r="U967"/>
      <c r="V967"/>
      <c r="W967"/>
      <c r="X967"/>
      <c r="Y967"/>
      <c r="Z967"/>
      <c r="AA967"/>
      <c r="AB967"/>
      <c r="AC967"/>
      <c r="AD967"/>
      <c r="AE967"/>
      <c r="AF967"/>
      <c r="AG967"/>
      <c r="AH967"/>
      <c r="AI967"/>
    </row>
    <row r="968" spans="1:35" s="33" customFormat="1" ht="15.75">
      <c r="A968" s="175"/>
      <c r="B968" s="163"/>
      <c r="C968" s="123"/>
      <c r="D968" s="123"/>
      <c r="E968" s="32"/>
      <c r="F968"/>
      <c r="G968"/>
      <c r="H968"/>
      <c r="I968"/>
      <c r="J968"/>
      <c r="K968"/>
      <c r="L968"/>
      <c r="M968"/>
      <c r="N968"/>
      <c r="O968"/>
      <c r="P968"/>
      <c r="Q968"/>
      <c r="R968"/>
      <c r="S968"/>
      <c r="T968"/>
      <c r="U968"/>
      <c r="V968"/>
      <c r="W968"/>
      <c r="X968"/>
      <c r="Y968"/>
      <c r="Z968"/>
      <c r="AA968"/>
      <c r="AB968"/>
      <c r="AC968"/>
      <c r="AD968"/>
      <c r="AE968"/>
      <c r="AF968"/>
      <c r="AG968"/>
      <c r="AH968"/>
      <c r="AI968"/>
    </row>
    <row r="969" spans="1:35" s="33" customFormat="1" ht="15.75">
      <c r="A969" s="175"/>
      <c r="B969" s="163"/>
      <c r="C969" s="123"/>
      <c r="D969" s="123"/>
      <c r="E969" s="32"/>
      <c r="F969"/>
      <c r="G969"/>
      <c r="H969"/>
      <c r="I969"/>
      <c r="J969"/>
      <c r="K969"/>
      <c r="L969"/>
      <c r="M969"/>
      <c r="N969"/>
      <c r="O969"/>
      <c r="P969"/>
      <c r="Q969"/>
      <c r="R969"/>
      <c r="S969"/>
      <c r="T969"/>
      <c r="U969"/>
      <c r="V969"/>
      <c r="W969"/>
      <c r="X969"/>
      <c r="Y969"/>
      <c r="Z969"/>
      <c r="AA969"/>
      <c r="AB969"/>
      <c r="AC969"/>
      <c r="AD969"/>
      <c r="AE969"/>
      <c r="AF969"/>
      <c r="AG969"/>
      <c r="AH969"/>
      <c r="AI969"/>
    </row>
    <row r="970" spans="1:35" s="33" customFormat="1" ht="15.75">
      <c r="A970" s="175"/>
      <c r="B970" s="163"/>
      <c r="C970" s="123"/>
      <c r="D970" s="123"/>
      <c r="E970" s="32"/>
      <c r="F970"/>
      <c r="G970"/>
      <c r="H970"/>
      <c r="I970"/>
      <c r="J970"/>
      <c r="K970"/>
      <c r="L970"/>
      <c r="M970"/>
      <c r="N970"/>
      <c r="O970"/>
      <c r="P970"/>
      <c r="Q970"/>
      <c r="R970"/>
      <c r="S970"/>
      <c r="T970"/>
      <c r="U970"/>
      <c r="V970"/>
      <c r="W970"/>
      <c r="X970"/>
      <c r="Y970"/>
      <c r="Z970"/>
      <c r="AA970"/>
      <c r="AB970"/>
      <c r="AC970"/>
      <c r="AD970"/>
      <c r="AE970"/>
      <c r="AF970"/>
      <c r="AG970"/>
      <c r="AH970"/>
      <c r="AI970"/>
    </row>
    <row r="971" spans="1:35" s="33" customFormat="1" ht="15.75">
      <c r="A971" s="175"/>
      <c r="B971" s="163"/>
      <c r="C971" s="123"/>
      <c r="D971" s="123"/>
      <c r="E971" s="32"/>
      <c r="F971"/>
      <c r="G971"/>
      <c r="H971"/>
      <c r="I971"/>
      <c r="J971"/>
      <c r="K971"/>
      <c r="L971"/>
      <c r="M971"/>
      <c r="N971"/>
      <c r="O971"/>
      <c r="P971"/>
      <c r="Q971"/>
      <c r="R971"/>
      <c r="S971"/>
      <c r="T971"/>
      <c r="U971"/>
      <c r="V971"/>
      <c r="W971"/>
      <c r="X971"/>
      <c r="Y971"/>
      <c r="Z971"/>
      <c r="AA971"/>
      <c r="AB971"/>
      <c r="AC971"/>
      <c r="AD971"/>
      <c r="AE971"/>
      <c r="AF971"/>
      <c r="AG971"/>
      <c r="AH971"/>
      <c r="AI971"/>
    </row>
    <row r="972" spans="1:35" s="33" customFormat="1" ht="15.75">
      <c r="A972" s="175"/>
      <c r="B972" s="163"/>
      <c r="C972" s="123"/>
      <c r="D972" s="123"/>
      <c r="E972" s="32"/>
      <c r="F972"/>
      <c r="G972"/>
      <c r="H972"/>
      <c r="I972"/>
      <c r="J972"/>
      <c r="K972"/>
      <c r="L972"/>
      <c r="M972"/>
      <c r="N972"/>
      <c r="O972"/>
      <c r="P972"/>
      <c r="Q972"/>
      <c r="R972"/>
      <c r="S972"/>
      <c r="T972"/>
      <c r="U972"/>
      <c r="V972"/>
      <c r="W972"/>
      <c r="X972"/>
      <c r="Y972"/>
      <c r="Z972"/>
      <c r="AA972"/>
      <c r="AB972"/>
      <c r="AC972"/>
      <c r="AD972"/>
      <c r="AE972"/>
      <c r="AF972"/>
      <c r="AG972"/>
      <c r="AH972"/>
      <c r="AI972"/>
    </row>
    <row r="973" spans="1:35" s="33" customFormat="1" ht="15.75">
      <c r="A973" s="175"/>
      <c r="B973" s="163"/>
      <c r="C973" s="123"/>
      <c r="D973" s="123"/>
      <c r="E973" s="32"/>
      <c r="F973"/>
      <c r="G973"/>
      <c r="H973"/>
      <c r="I973"/>
      <c r="J973"/>
      <c r="K973"/>
      <c r="L973"/>
      <c r="M973"/>
      <c r="N973"/>
      <c r="O973"/>
      <c r="P973"/>
      <c r="Q973"/>
      <c r="R973"/>
      <c r="S973"/>
      <c r="T973"/>
      <c r="U973"/>
      <c r="V973"/>
      <c r="W973"/>
      <c r="X973"/>
      <c r="Y973"/>
      <c r="Z973"/>
      <c r="AA973"/>
      <c r="AB973"/>
      <c r="AC973"/>
      <c r="AD973"/>
      <c r="AE973"/>
      <c r="AF973"/>
      <c r="AG973"/>
      <c r="AH973"/>
      <c r="AI973"/>
    </row>
    <row r="974" spans="1:35" s="33" customFormat="1" ht="15.75">
      <c r="A974" s="175"/>
      <c r="B974" s="163"/>
      <c r="C974" s="123"/>
      <c r="D974" s="123"/>
      <c r="E974" s="32"/>
      <c r="F974"/>
      <c r="G974"/>
      <c r="H974"/>
      <c r="I974"/>
      <c r="J974"/>
      <c r="K974"/>
      <c r="L974"/>
      <c r="M974"/>
      <c r="N974"/>
      <c r="O974"/>
      <c r="P974"/>
      <c r="Q974"/>
      <c r="R974"/>
      <c r="S974"/>
      <c r="T974"/>
      <c r="U974"/>
      <c r="V974"/>
      <c r="W974"/>
      <c r="X974"/>
      <c r="Y974"/>
      <c r="Z974"/>
      <c r="AA974"/>
      <c r="AB974"/>
      <c r="AC974"/>
      <c r="AD974"/>
      <c r="AE974"/>
      <c r="AF974"/>
      <c r="AG974"/>
      <c r="AH974"/>
      <c r="AI974"/>
    </row>
    <row r="975" spans="1:35" s="33" customFormat="1" ht="15.75">
      <c r="A975" s="175"/>
      <c r="B975" s="163"/>
      <c r="C975" s="123"/>
      <c r="D975" s="123"/>
      <c r="E975" s="32"/>
      <c r="F975"/>
      <c r="G975"/>
      <c r="H975"/>
      <c r="I975"/>
      <c r="J975"/>
      <c r="K975"/>
      <c r="L975"/>
      <c r="M975"/>
      <c r="N975"/>
      <c r="O975"/>
      <c r="P975"/>
      <c r="Q975"/>
      <c r="R975"/>
      <c r="S975"/>
      <c r="T975"/>
      <c r="U975"/>
      <c r="V975"/>
      <c r="W975"/>
      <c r="X975"/>
      <c r="Y975"/>
      <c r="Z975"/>
      <c r="AA975"/>
      <c r="AB975"/>
      <c r="AC975"/>
      <c r="AD975"/>
      <c r="AE975"/>
      <c r="AF975"/>
      <c r="AG975"/>
      <c r="AH975"/>
      <c r="AI975"/>
    </row>
    <row r="976" spans="1:35" s="33" customFormat="1" ht="15.75">
      <c r="A976" s="175"/>
      <c r="B976" s="163"/>
      <c r="C976" s="123"/>
      <c r="D976" s="123"/>
      <c r="E976" s="32"/>
      <c r="F976"/>
      <c r="G976"/>
      <c r="H976"/>
      <c r="I976"/>
      <c r="J976"/>
      <c r="K976"/>
      <c r="L976"/>
      <c r="M976"/>
      <c r="N976"/>
      <c r="O976"/>
      <c r="P976"/>
      <c r="Q976"/>
      <c r="R976"/>
      <c r="S976"/>
      <c r="T976"/>
      <c r="U976"/>
      <c r="V976"/>
      <c r="W976"/>
      <c r="X976"/>
      <c r="Y976"/>
      <c r="Z976"/>
      <c r="AA976"/>
      <c r="AB976"/>
      <c r="AC976"/>
      <c r="AD976"/>
      <c r="AE976"/>
      <c r="AF976"/>
      <c r="AG976"/>
      <c r="AH976"/>
      <c r="AI976"/>
    </row>
    <row r="977" spans="1:35" s="33" customFormat="1" ht="15.75">
      <c r="A977" s="175"/>
      <c r="B977" s="163"/>
      <c r="C977" s="123"/>
      <c r="D977" s="123"/>
      <c r="E977" s="32"/>
      <c r="F977"/>
      <c r="G977"/>
      <c r="H977"/>
      <c r="I977"/>
      <c r="J977"/>
      <c r="K977"/>
      <c r="L977"/>
      <c r="M977"/>
      <c r="N977"/>
      <c r="O977"/>
      <c r="P977"/>
      <c r="Q977"/>
      <c r="R977"/>
      <c r="S977"/>
      <c r="T977"/>
      <c r="U977"/>
      <c r="V977"/>
      <c r="W977"/>
      <c r="X977"/>
      <c r="Y977"/>
      <c r="Z977"/>
      <c r="AA977"/>
      <c r="AB977"/>
      <c r="AC977"/>
      <c r="AD977"/>
      <c r="AE977"/>
      <c r="AF977"/>
      <c r="AG977"/>
      <c r="AH977"/>
      <c r="AI977"/>
    </row>
    <row r="978" spans="1:35" s="33" customFormat="1" ht="15.75">
      <c r="A978" s="175"/>
      <c r="B978" s="163"/>
      <c r="C978" s="123"/>
      <c r="D978" s="123"/>
      <c r="E978" s="32"/>
      <c r="F978"/>
      <c r="G978"/>
      <c r="H978"/>
      <c r="I978"/>
      <c r="J978"/>
      <c r="K978"/>
      <c r="L978"/>
      <c r="M978"/>
      <c r="N978"/>
      <c r="O978"/>
      <c r="P978"/>
      <c r="Q978"/>
      <c r="R978"/>
      <c r="S978"/>
      <c r="T978"/>
      <c r="U978"/>
      <c r="V978"/>
      <c r="W978"/>
      <c r="X978"/>
      <c r="Y978"/>
      <c r="Z978"/>
      <c r="AA978"/>
      <c r="AB978"/>
      <c r="AC978"/>
      <c r="AD978"/>
      <c r="AE978"/>
      <c r="AF978"/>
      <c r="AG978"/>
      <c r="AH978"/>
      <c r="AI978"/>
    </row>
    <row r="979" spans="1:35" s="33" customFormat="1" ht="15.75">
      <c r="A979" s="175"/>
      <c r="B979" s="163"/>
      <c r="C979" s="123"/>
      <c r="D979" s="123"/>
      <c r="E979" s="32"/>
      <c r="F979"/>
      <c r="G979"/>
      <c r="H979"/>
      <c r="I979"/>
      <c r="J979"/>
      <c r="K979"/>
      <c r="L979"/>
      <c r="M979"/>
      <c r="N979"/>
      <c r="O979"/>
      <c r="P979"/>
      <c r="Q979"/>
      <c r="R979"/>
      <c r="S979"/>
      <c r="T979"/>
      <c r="U979"/>
      <c r="V979"/>
      <c r="W979"/>
      <c r="X979"/>
      <c r="Y979"/>
      <c r="Z979"/>
      <c r="AA979"/>
      <c r="AB979"/>
      <c r="AC979"/>
      <c r="AD979"/>
      <c r="AE979"/>
      <c r="AF979"/>
      <c r="AG979"/>
      <c r="AH979"/>
      <c r="AI979"/>
    </row>
    <row r="980" spans="1:35" s="33" customFormat="1" ht="15.75">
      <c r="A980" s="175"/>
      <c r="B980" s="163"/>
      <c r="C980" s="123"/>
      <c r="D980" s="123"/>
      <c r="E980" s="32"/>
      <c r="F980"/>
      <c r="G980"/>
      <c r="H980"/>
      <c r="I980"/>
      <c r="J980"/>
      <c r="K980"/>
      <c r="L980"/>
      <c r="M980"/>
      <c r="N980"/>
      <c r="O980"/>
      <c r="P980"/>
      <c r="Q980"/>
      <c r="R980"/>
      <c r="S980"/>
      <c r="T980"/>
      <c r="U980"/>
      <c r="V980"/>
      <c r="W980"/>
      <c r="X980"/>
      <c r="Y980"/>
      <c r="Z980"/>
      <c r="AA980"/>
      <c r="AB980"/>
      <c r="AC980"/>
      <c r="AD980"/>
      <c r="AE980"/>
      <c r="AF980"/>
      <c r="AG980"/>
      <c r="AH980"/>
      <c r="AI980"/>
    </row>
    <row r="981" spans="1:35" s="33" customFormat="1" ht="15.75">
      <c r="A981" s="175"/>
      <c r="B981" s="163"/>
      <c r="C981" s="123"/>
      <c r="D981" s="123"/>
      <c r="E981" s="32"/>
      <c r="F981"/>
      <c r="G981"/>
      <c r="H981"/>
      <c r="I981"/>
      <c r="J981"/>
      <c r="K981"/>
      <c r="L981"/>
      <c r="M981"/>
      <c r="N981"/>
      <c r="O981"/>
      <c r="P981"/>
      <c r="Q981"/>
      <c r="R981"/>
      <c r="S981"/>
      <c r="T981"/>
      <c r="U981"/>
      <c r="V981"/>
      <c r="W981"/>
      <c r="X981"/>
      <c r="Y981"/>
      <c r="Z981"/>
      <c r="AA981"/>
      <c r="AB981"/>
      <c r="AC981"/>
      <c r="AD981"/>
      <c r="AE981"/>
      <c r="AF981"/>
      <c r="AG981"/>
      <c r="AH981"/>
      <c r="AI981"/>
    </row>
    <row r="982" spans="1:35" s="33" customFormat="1" ht="15.75">
      <c r="A982" s="175"/>
      <c r="B982" s="163"/>
      <c r="C982" s="123"/>
      <c r="D982" s="123"/>
      <c r="E982" s="32"/>
      <c r="F982"/>
      <c r="G982"/>
      <c r="H982"/>
      <c r="I982"/>
      <c r="J982"/>
      <c r="K982"/>
      <c r="L982"/>
      <c r="M982"/>
      <c r="N982"/>
      <c r="O982"/>
      <c r="P982"/>
      <c r="Q982"/>
      <c r="R982"/>
      <c r="S982"/>
      <c r="T982"/>
      <c r="U982"/>
      <c r="V982"/>
      <c r="W982"/>
      <c r="X982"/>
      <c r="Y982"/>
      <c r="Z982"/>
      <c r="AA982"/>
      <c r="AB982"/>
      <c r="AC982"/>
      <c r="AD982"/>
      <c r="AE982"/>
      <c r="AF982"/>
      <c r="AG982"/>
      <c r="AH982"/>
      <c r="AI982"/>
    </row>
    <row r="983" spans="1:35" s="33" customFormat="1" ht="15.75">
      <c r="A983" s="175"/>
      <c r="B983" s="163"/>
      <c r="C983" s="123"/>
      <c r="D983" s="123"/>
      <c r="E983" s="32"/>
      <c r="F983"/>
      <c r="G983"/>
      <c r="H983"/>
      <c r="I983"/>
      <c r="J983"/>
      <c r="K983"/>
      <c r="L983"/>
      <c r="M983"/>
      <c r="N983"/>
      <c r="O983"/>
      <c r="P983"/>
      <c r="Q983"/>
      <c r="R983"/>
      <c r="S983"/>
      <c r="T983"/>
      <c r="U983"/>
      <c r="V983"/>
      <c r="W983"/>
      <c r="X983"/>
      <c r="Y983"/>
      <c r="Z983"/>
      <c r="AA983"/>
      <c r="AB983"/>
      <c r="AC983"/>
      <c r="AD983"/>
      <c r="AE983"/>
      <c r="AF983"/>
      <c r="AG983"/>
      <c r="AH983"/>
      <c r="AI983"/>
    </row>
    <row r="984" spans="1:35" s="33" customFormat="1" ht="15.75">
      <c r="A984" s="175"/>
      <c r="B984" s="163"/>
      <c r="C984" s="123"/>
      <c r="D984" s="123"/>
      <c r="E984" s="32"/>
      <c r="F984"/>
      <c r="G984"/>
      <c r="H984"/>
      <c r="I984"/>
      <c r="J984"/>
      <c r="K984"/>
      <c r="L984"/>
      <c r="M984"/>
      <c r="N984"/>
      <c r="O984"/>
      <c r="P984"/>
      <c r="Q984"/>
      <c r="R984"/>
      <c r="S984"/>
      <c r="T984"/>
      <c r="U984"/>
      <c r="V984"/>
      <c r="W984"/>
      <c r="X984"/>
      <c r="Y984"/>
      <c r="Z984"/>
      <c r="AA984"/>
      <c r="AB984"/>
      <c r="AC984"/>
      <c r="AD984"/>
      <c r="AE984"/>
      <c r="AF984"/>
      <c r="AG984"/>
      <c r="AH984"/>
      <c r="AI984"/>
    </row>
    <row r="985" spans="1:35" s="33" customFormat="1" ht="15.75">
      <c r="A985" s="175"/>
      <c r="B985" s="163"/>
      <c r="C985" s="123"/>
      <c r="D985" s="123"/>
      <c r="E985" s="32"/>
      <c r="F985"/>
      <c r="G985"/>
      <c r="H985"/>
      <c r="I985"/>
      <c r="J985"/>
      <c r="K985"/>
      <c r="L985"/>
      <c r="M985"/>
      <c r="N985"/>
      <c r="O985"/>
      <c r="P985"/>
      <c r="Q985"/>
      <c r="R985"/>
      <c r="S985"/>
      <c r="T985"/>
      <c r="U985"/>
      <c r="V985"/>
      <c r="W985"/>
      <c r="X985"/>
      <c r="Y985"/>
      <c r="Z985"/>
      <c r="AA985"/>
      <c r="AB985"/>
      <c r="AC985"/>
      <c r="AD985"/>
      <c r="AE985"/>
      <c r="AF985"/>
      <c r="AG985"/>
      <c r="AH985"/>
      <c r="AI985"/>
    </row>
    <row r="986" spans="1:35" s="33" customFormat="1" ht="15.75">
      <c r="A986" s="175"/>
      <c r="B986" s="163"/>
      <c r="C986" s="123"/>
      <c r="D986" s="123"/>
      <c r="E986" s="32"/>
      <c r="F986"/>
      <c r="G986"/>
      <c r="H986"/>
      <c r="I986"/>
      <c r="J986"/>
      <c r="K986"/>
      <c r="L986"/>
      <c r="M986"/>
      <c r="N986"/>
      <c r="O986"/>
      <c r="P986"/>
      <c r="Q986"/>
      <c r="R986"/>
      <c r="S986"/>
      <c r="T986"/>
      <c r="U986"/>
      <c r="V986"/>
      <c r="W986"/>
      <c r="X986"/>
      <c r="Y986"/>
      <c r="Z986"/>
      <c r="AA986"/>
      <c r="AB986"/>
      <c r="AC986"/>
      <c r="AD986"/>
      <c r="AE986"/>
      <c r="AF986"/>
      <c r="AG986"/>
      <c r="AH986"/>
      <c r="AI986"/>
    </row>
    <row r="987" spans="1:35" s="33" customFormat="1" ht="15.75">
      <c r="A987" s="175"/>
      <c r="B987" s="163"/>
      <c r="C987" s="123"/>
      <c r="D987" s="123"/>
      <c r="E987" s="32"/>
      <c r="F987"/>
      <c r="G987"/>
      <c r="H987"/>
      <c r="I987"/>
      <c r="J987"/>
      <c r="K987"/>
      <c r="L987"/>
      <c r="M987"/>
      <c r="N987"/>
      <c r="O987"/>
      <c r="P987"/>
      <c r="Q987"/>
      <c r="R987"/>
      <c r="S987"/>
      <c r="T987"/>
      <c r="U987"/>
      <c r="V987"/>
      <c r="W987"/>
      <c r="X987"/>
      <c r="Y987"/>
      <c r="Z987"/>
      <c r="AA987"/>
      <c r="AB987"/>
      <c r="AC987"/>
      <c r="AD987"/>
      <c r="AE987"/>
      <c r="AF987"/>
      <c r="AG987"/>
      <c r="AH987"/>
      <c r="AI987"/>
    </row>
    <row r="988" spans="1:35" s="33" customFormat="1" ht="15.75">
      <c r="A988" s="175"/>
      <c r="B988" s="163"/>
      <c r="C988" s="123"/>
      <c r="D988" s="123"/>
      <c r="E988" s="32"/>
      <c r="F988"/>
      <c r="G988"/>
      <c r="H988"/>
      <c r="I988"/>
      <c r="J988"/>
      <c r="K988"/>
      <c r="L988"/>
      <c r="M988"/>
      <c r="N988"/>
      <c r="O988"/>
      <c r="P988"/>
      <c r="Q988"/>
      <c r="R988"/>
      <c r="S988"/>
      <c r="T988"/>
      <c r="U988"/>
      <c r="V988"/>
      <c r="W988"/>
      <c r="X988"/>
      <c r="Y988"/>
      <c r="Z988"/>
      <c r="AA988"/>
      <c r="AB988"/>
      <c r="AC988"/>
      <c r="AD988"/>
      <c r="AE988"/>
      <c r="AF988"/>
      <c r="AG988"/>
      <c r="AH988"/>
      <c r="AI988"/>
    </row>
    <row r="989" spans="1:35" s="33" customFormat="1" ht="15.75">
      <c r="A989" s="175"/>
      <c r="B989" s="163"/>
      <c r="C989" s="123"/>
      <c r="D989" s="123"/>
      <c r="E989" s="32"/>
      <c r="F989"/>
      <c r="G989"/>
      <c r="H989"/>
      <c r="I989"/>
      <c r="J989"/>
      <c r="K989"/>
      <c r="L989"/>
      <c r="M989"/>
      <c r="N989"/>
      <c r="O989"/>
      <c r="P989"/>
      <c r="Q989"/>
      <c r="R989"/>
      <c r="S989"/>
      <c r="T989"/>
      <c r="U989"/>
      <c r="V989"/>
      <c r="W989"/>
      <c r="X989"/>
      <c r="Y989"/>
      <c r="Z989"/>
      <c r="AA989"/>
      <c r="AB989"/>
      <c r="AC989"/>
      <c r="AD989"/>
      <c r="AE989"/>
      <c r="AF989"/>
      <c r="AG989"/>
      <c r="AH989"/>
      <c r="AI989"/>
    </row>
    <row r="990" spans="1:35" s="33" customFormat="1" ht="15.75">
      <c r="A990" s="175"/>
      <c r="B990" s="163"/>
      <c r="C990" s="123"/>
      <c r="D990" s="123"/>
      <c r="E990" s="32"/>
      <c r="F990"/>
      <c r="G990"/>
      <c r="H990"/>
      <c r="I990"/>
      <c r="J990"/>
      <c r="K990"/>
      <c r="L990"/>
      <c r="M990"/>
      <c r="N990"/>
      <c r="O990"/>
      <c r="P990"/>
      <c r="Q990"/>
      <c r="R990"/>
      <c r="S990"/>
      <c r="T990"/>
      <c r="U990"/>
      <c r="V990"/>
      <c r="W990"/>
      <c r="X990"/>
      <c r="Y990"/>
      <c r="Z990"/>
      <c r="AA990"/>
      <c r="AB990"/>
      <c r="AC990"/>
      <c r="AD990"/>
      <c r="AE990"/>
      <c r="AF990"/>
      <c r="AG990"/>
      <c r="AH990"/>
      <c r="AI990"/>
    </row>
    <row r="991" spans="1:35" s="33" customFormat="1" ht="15.75">
      <c r="A991" s="175"/>
      <c r="B991" s="163"/>
      <c r="C991" s="123"/>
      <c r="D991" s="123"/>
      <c r="E991" s="32"/>
      <c r="F991"/>
      <c r="G991"/>
      <c r="H991"/>
      <c r="I991"/>
      <c r="J991"/>
      <c r="K991"/>
      <c r="L991"/>
      <c r="M991"/>
      <c r="N991"/>
      <c r="O991"/>
      <c r="P991"/>
      <c r="Q991"/>
      <c r="R991"/>
      <c r="S991"/>
      <c r="T991"/>
      <c r="U991"/>
      <c r="V991"/>
      <c r="W991"/>
      <c r="X991"/>
      <c r="Y991"/>
      <c r="Z991"/>
      <c r="AA991"/>
      <c r="AB991"/>
      <c r="AC991"/>
      <c r="AD991"/>
      <c r="AE991"/>
      <c r="AF991"/>
      <c r="AG991"/>
      <c r="AH991"/>
      <c r="AI991"/>
    </row>
    <row r="992" spans="1:35" s="33" customFormat="1" ht="15.75">
      <c r="A992" s="175"/>
      <c r="B992" s="163"/>
      <c r="C992" s="123"/>
      <c r="D992" s="123"/>
      <c r="E992" s="32"/>
      <c r="F992"/>
      <c r="G992"/>
      <c r="H992"/>
      <c r="I992"/>
      <c r="J992"/>
      <c r="K992"/>
      <c r="L992"/>
      <c r="M992"/>
      <c r="N992"/>
      <c r="O992"/>
      <c r="P992"/>
      <c r="Q992"/>
      <c r="R992"/>
      <c r="S992"/>
      <c r="T992"/>
      <c r="U992"/>
      <c r="V992"/>
      <c r="W992"/>
      <c r="X992"/>
      <c r="Y992"/>
      <c r="Z992"/>
      <c r="AA992"/>
      <c r="AB992"/>
      <c r="AC992"/>
      <c r="AD992"/>
      <c r="AE992"/>
      <c r="AF992"/>
      <c r="AG992"/>
      <c r="AH992"/>
      <c r="AI992"/>
    </row>
    <row r="993" spans="1:35" s="33" customFormat="1" ht="15.75">
      <c r="A993" s="175"/>
      <c r="B993" s="163"/>
      <c r="C993" s="123"/>
      <c r="D993" s="123"/>
      <c r="E993" s="32"/>
      <c r="F993"/>
      <c r="G993"/>
      <c r="H993"/>
      <c r="I993"/>
      <c r="J993"/>
      <c r="K993"/>
      <c r="L993"/>
      <c r="M993"/>
      <c r="N993"/>
      <c r="O993"/>
      <c r="P993"/>
      <c r="Q993"/>
      <c r="R993"/>
      <c r="S993"/>
      <c r="T993"/>
      <c r="U993"/>
      <c r="V993"/>
      <c r="W993"/>
      <c r="X993"/>
      <c r="Y993"/>
      <c r="Z993"/>
      <c r="AA993"/>
      <c r="AB993"/>
      <c r="AC993"/>
      <c r="AD993"/>
      <c r="AE993"/>
      <c r="AF993"/>
      <c r="AG993"/>
      <c r="AH993"/>
      <c r="AI993"/>
    </row>
    <row r="994" spans="1:35" s="33" customFormat="1" ht="15.75">
      <c r="A994" s="175"/>
      <c r="B994" s="163"/>
      <c r="C994" s="123"/>
      <c r="D994" s="123"/>
      <c r="E994" s="32"/>
      <c r="F994"/>
      <c r="G994"/>
      <c r="H994"/>
      <c r="I994"/>
      <c r="J994"/>
      <c r="K994"/>
      <c r="L994"/>
      <c r="M994"/>
      <c r="N994"/>
      <c r="O994"/>
      <c r="P994"/>
      <c r="Q994"/>
      <c r="R994"/>
      <c r="S994"/>
      <c r="T994"/>
      <c r="U994"/>
      <c r="V994"/>
      <c r="W994"/>
      <c r="X994"/>
      <c r="Y994"/>
      <c r="Z994"/>
      <c r="AA994"/>
      <c r="AB994"/>
      <c r="AC994"/>
      <c r="AD994"/>
      <c r="AE994"/>
      <c r="AF994"/>
      <c r="AG994"/>
      <c r="AH994"/>
      <c r="AI994"/>
    </row>
    <row r="995" spans="1:35" s="33" customFormat="1" ht="15.75">
      <c r="A995" s="175"/>
      <c r="B995" s="163"/>
      <c r="C995" s="123"/>
      <c r="D995" s="123"/>
      <c r="E995" s="32"/>
      <c r="F995"/>
      <c r="G995"/>
      <c r="H995"/>
      <c r="I995"/>
      <c r="J995"/>
      <c r="K995"/>
      <c r="L995"/>
      <c r="M995"/>
      <c r="N995"/>
      <c r="O995"/>
      <c r="P995"/>
      <c r="Q995"/>
      <c r="R995"/>
      <c r="S995"/>
      <c r="T995"/>
      <c r="U995"/>
      <c r="V995"/>
      <c r="W995"/>
      <c r="X995"/>
      <c r="Y995"/>
      <c r="Z995"/>
      <c r="AA995"/>
      <c r="AB995"/>
      <c r="AC995"/>
      <c r="AD995"/>
      <c r="AE995"/>
      <c r="AF995"/>
      <c r="AG995"/>
      <c r="AH995"/>
      <c r="AI995"/>
    </row>
    <row r="996" spans="1:35" s="33" customFormat="1" ht="15.75">
      <c r="A996" s="175"/>
      <c r="B996" s="163"/>
      <c r="C996" s="123"/>
      <c r="D996" s="123"/>
      <c r="E996" s="32"/>
      <c r="F996"/>
      <c r="G996"/>
      <c r="H996"/>
      <c r="I996"/>
      <c r="J996"/>
      <c r="K996"/>
      <c r="L996"/>
      <c r="M996"/>
      <c r="N996"/>
      <c r="O996"/>
      <c r="P996"/>
      <c r="Q996"/>
      <c r="R996"/>
      <c r="S996"/>
      <c r="T996"/>
      <c r="U996"/>
      <c r="V996"/>
      <c r="W996"/>
      <c r="X996"/>
      <c r="Y996"/>
      <c r="Z996"/>
      <c r="AA996"/>
      <c r="AB996"/>
      <c r="AC996"/>
      <c r="AD996"/>
      <c r="AE996"/>
      <c r="AF996"/>
      <c r="AG996"/>
      <c r="AH996"/>
      <c r="AI996"/>
    </row>
    <row r="997" spans="1:35" s="33" customFormat="1" ht="15.75">
      <c r="A997" s="175"/>
      <c r="B997" s="163"/>
      <c r="C997" s="123"/>
      <c r="D997" s="123"/>
      <c r="E997" s="32"/>
      <c r="F997"/>
      <c r="G997"/>
      <c r="H997"/>
      <c r="I997"/>
      <c r="J997"/>
      <c r="K997"/>
      <c r="L997"/>
      <c r="M997"/>
      <c r="N997"/>
      <c r="O997"/>
      <c r="P997"/>
      <c r="Q997"/>
      <c r="R997"/>
      <c r="S997"/>
      <c r="T997"/>
      <c r="U997"/>
      <c r="V997"/>
      <c r="W997"/>
      <c r="X997"/>
      <c r="Y997"/>
      <c r="Z997"/>
      <c r="AA997"/>
      <c r="AB997"/>
      <c r="AC997"/>
      <c r="AD997"/>
      <c r="AE997"/>
      <c r="AF997"/>
      <c r="AG997"/>
      <c r="AH997"/>
      <c r="AI997"/>
    </row>
    <row r="998" spans="1:35" s="33" customFormat="1" ht="15.75">
      <c r="A998" s="175"/>
      <c r="B998" s="163"/>
      <c r="C998" s="123"/>
      <c r="D998" s="123"/>
      <c r="E998" s="32"/>
      <c r="F998"/>
      <c r="G998"/>
      <c r="H998"/>
      <c r="I998"/>
      <c r="J998"/>
      <c r="K998"/>
      <c r="L998"/>
      <c r="M998"/>
      <c r="N998"/>
      <c r="O998"/>
      <c r="P998"/>
      <c r="Q998"/>
      <c r="R998"/>
      <c r="S998"/>
      <c r="T998"/>
      <c r="U998"/>
      <c r="V998"/>
      <c r="W998"/>
      <c r="X998"/>
      <c r="Y998"/>
      <c r="Z998"/>
      <c r="AA998"/>
      <c r="AB998"/>
      <c r="AC998"/>
      <c r="AD998"/>
      <c r="AE998"/>
      <c r="AF998"/>
      <c r="AG998"/>
      <c r="AH998"/>
      <c r="AI998"/>
    </row>
    <row r="999" spans="1:35" s="33" customFormat="1" ht="15.75">
      <c r="A999" s="175"/>
      <c r="B999" s="163"/>
      <c r="C999" s="123"/>
      <c r="D999" s="123"/>
      <c r="E999" s="32"/>
      <c r="F999"/>
      <c r="G999"/>
      <c r="H999"/>
      <c r="I999"/>
      <c r="J999"/>
      <c r="K999"/>
      <c r="L999"/>
      <c r="M999"/>
      <c r="N999"/>
      <c r="O999"/>
      <c r="P999"/>
      <c r="Q999"/>
      <c r="R999"/>
      <c r="S999"/>
      <c r="T999"/>
      <c r="U999"/>
      <c r="V999"/>
      <c r="W999"/>
      <c r="X999"/>
      <c r="Y999"/>
      <c r="Z999"/>
      <c r="AA999"/>
      <c r="AB999"/>
      <c r="AC999"/>
      <c r="AD999"/>
      <c r="AE999"/>
      <c r="AF999"/>
      <c r="AG999"/>
      <c r="AH999"/>
      <c r="AI999"/>
    </row>
    <row r="1000" spans="1:35" s="33" customFormat="1" ht="15.75">
      <c r="A1000" s="175"/>
      <c r="B1000" s="163"/>
      <c r="C1000" s="123"/>
      <c r="D1000" s="123"/>
      <c r="E1000" s="32"/>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3.15" customHeight="1" thickBot="1">
      <c r="A1001" s="176"/>
      <c r="B1001" s="399" t="str">
        <f ca="1">OFFSET(L!$C$1,MATCH("General"&amp;"Cpy",L!$A:$A,0)-1,SL,,)</f>
        <v>© 2016 Conflict-Free Sourcing Initiative. All rights reserved.</v>
      </c>
      <c r="C1001" s="399"/>
      <c r="D1001" s="399"/>
      <c r="E1001" s="31"/>
    </row>
    <row r="1002" spans="1:35" ht="13.5" thickTop="1">
      <c r="D1002" s="130"/>
    </row>
  </sheetData>
  <sheetProtection password="E985" sheet="1" formatColumns="0" formatRows="0" insertRows="0" deleteRows="0"/>
  <mergeCells count="3">
    <mergeCell ref="B4:D4"/>
    <mergeCell ref="A1:D1"/>
    <mergeCell ref="B1001:D1001"/>
  </mergeCells>
  <phoneticPr fontId="31"/>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544"/>
  <sheetViews>
    <sheetView zoomScale="160" zoomScaleNormal="160" workbookViewId="0">
      <pane ySplit="4" topLeftCell="A499" activePane="bottomLeft" state="frozen"/>
      <selection pane="bottomLeft" activeCell="C547" sqref="C547"/>
    </sheetView>
  </sheetViews>
  <sheetFormatPr defaultColWidth="8.75" defaultRowHeight="10.5"/>
  <cols>
    <col min="1" max="1" width="9.25" style="45" bestFit="1" customWidth="1"/>
    <col min="2" max="2" width="42.875" style="45" customWidth="1"/>
    <col min="3" max="3" width="40.25" style="45" customWidth="1"/>
    <col min="4" max="4" width="22.75" style="45" customWidth="1"/>
    <col min="5" max="5" width="12.625" style="45" customWidth="1"/>
    <col min="6" max="6" width="12.625" style="201" customWidth="1"/>
    <col min="7" max="7" width="15.375" style="45" customWidth="1"/>
    <col min="8" max="8" width="23.875" style="45" customWidth="1"/>
    <col min="9" max="9" width="20.875" style="45" customWidth="1"/>
    <col min="10" max="10" width="38.625" style="45" hidden="1" customWidth="1"/>
    <col min="11" max="11" width="24.25" style="45" hidden="1" customWidth="1"/>
    <col min="12" max="12" width="17.5" style="45" customWidth="1"/>
    <col min="13" max="13" width="16.25" style="45" customWidth="1"/>
    <col min="14" max="16384" width="8.75" style="45"/>
  </cols>
  <sheetData>
    <row r="1" spans="1:13" ht="3" customHeight="1">
      <c r="A1" s="400" t="str">
        <f ca="1">OFFSET(L!$C$1,MATCH("Smelter Reference List"&amp;ADDRESS(ROW(),COLUMN(),4),L!$A:$A,0)-1,SL,,)</f>
        <v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Reference List.
Column C is the list of the official standard smelter names, understood to be the legal names of the eligible smelters. The majority of smelters will have the same entry for both columns, however if the common name varies from the standard name, the variation is noted in Column B. </v>
      </c>
      <c r="B1" s="400"/>
      <c r="C1" s="400"/>
      <c r="D1" s="400"/>
      <c r="E1" s="400"/>
      <c r="F1" s="400"/>
      <c r="G1" s="400"/>
    </row>
    <row r="2" spans="1:13" hidden="1">
      <c r="A2" s="401"/>
      <c r="B2" s="401"/>
      <c r="C2" s="401"/>
      <c r="D2" s="401"/>
      <c r="E2" s="401"/>
      <c r="F2" s="401"/>
      <c r="G2" s="401"/>
      <c r="H2" s="401"/>
      <c r="I2" s="401"/>
    </row>
    <row r="3" spans="1:13" hidden="1">
      <c r="A3" s="401"/>
      <c r="B3" s="401"/>
      <c r="C3" s="401"/>
      <c r="D3" s="401"/>
      <c r="E3" s="401"/>
      <c r="F3" s="401"/>
      <c r="G3" s="401"/>
      <c r="H3" s="401"/>
      <c r="I3" s="401"/>
    </row>
    <row r="4" spans="1:13" s="239" customFormat="1" ht="42">
      <c r="A4" s="207" t="str">
        <f ca="1">OFFSET(L!$C$1,MATCH("Smelter Reference List"&amp;ADDRESS(ROW(),COLUMN(),4),L!$A:$A,0)-1,SL,,)</f>
        <v>Metal</v>
      </c>
      <c r="B4" s="207" t="str">
        <f ca="1">OFFSET(L!$C$1,MATCH("Smelter Reference List"&amp;ADDRESS(ROW(),COLUMN(),4),L!$A:$A,0)-1,SL,,)</f>
        <v>Smelter Reference List</v>
      </c>
      <c r="C4" s="207" t="str">
        <f ca="1">OFFSET(L!$C$1,MATCH("Smelter Reference List"&amp;ADDRESS(ROW(),COLUMN(),4),L!$A:$A,0)-1,SL,,)</f>
        <v>Standard Smelter Names</v>
      </c>
      <c r="D4" s="207" t="str">
        <f ca="1">OFFSET(L!$C$1,MATCH("Smelter Reference List"&amp;ADDRESS(ROW(),COLUMN(),4),L!$A:$A,0)-1,SL,,)</f>
        <v>Smelter Facility Location: Country</v>
      </c>
      <c r="E4" s="207" t="str">
        <f ca="1">OFFSET(L!$C$1,MATCH("Smelter Reference List"&amp;ADDRESS(ROW(),COLUMN(),4),L!$A:$A,0)-1,SL,,)</f>
        <v>New Smelter ID</v>
      </c>
      <c r="F4" s="207" t="str">
        <f ca="1">OFFSET(L!$C$1,MATCH("Smelter Reference List"&amp;ADDRESS(ROW(),COLUMN(),4),L!$A:$A,0)-1,SL,,)</f>
        <v>Source of Smelter Identification Number</v>
      </c>
      <c r="G4" s="207" t="str">
        <f ca="1">OFFSET(L!$C$1,MATCH("Smelter Reference List"&amp;ADDRESS(ROW(),COLUMN(),4),L!$A:$A,0)-1,SL,,)</f>
        <v xml:space="preserve">Smelter Street </v>
      </c>
      <c r="H4" s="207" t="str">
        <f ca="1">OFFSET(L!$C$1,MATCH("Smelter Reference List"&amp;ADDRESS(ROW(),COLUMN(),4),L!$A:$A,0)-1,SL,,)</f>
        <v>Smelter City</v>
      </c>
      <c r="I4" s="207" t="str">
        <f ca="1">OFFSET(L!$C$1,MATCH("Smelter Reference List"&amp;ADDRESS(ROW(),COLUMN(),4),L!$A:$A,0)-1,SL,,)</f>
        <v>Smelter Facility Location: State / Province</v>
      </c>
      <c r="J4" s="207" t="s">
        <v>1430</v>
      </c>
      <c r="K4" s="207" t="s">
        <v>1430</v>
      </c>
      <c r="L4" s="240"/>
      <c r="M4" s="240"/>
    </row>
    <row r="5" spans="1:13" ht="10.5" customHeight="1">
      <c r="A5" s="297" t="s">
        <v>2290</v>
      </c>
      <c r="B5" s="297" t="s">
        <v>4892</v>
      </c>
      <c r="C5" s="297" t="s">
        <v>4892</v>
      </c>
      <c r="D5" s="297" t="s">
        <v>4880</v>
      </c>
      <c r="E5" s="297" t="s">
        <v>4893</v>
      </c>
      <c r="F5" s="297" t="s">
        <v>3060</v>
      </c>
      <c r="G5" s="297"/>
      <c r="H5" s="297" t="s">
        <v>4894</v>
      </c>
      <c r="I5" s="297" t="s">
        <v>4895</v>
      </c>
      <c r="J5" s="45" t="str">
        <f t="shared" ref="J5:J67" si="0">A5&amp;B5</f>
        <v>GoldAbington Reldan Metals, LLC</v>
      </c>
      <c r="K5" s="45" t="str">
        <f t="shared" ref="K5:K67" si="1">A5&amp;B5</f>
        <v>GoldAbington Reldan Metals, LLC</v>
      </c>
      <c r="L5" s="243"/>
    </row>
    <row r="6" spans="1:13" ht="10.5" customHeight="1">
      <c r="A6" s="297" t="s">
        <v>2290</v>
      </c>
      <c r="B6" s="297" t="s">
        <v>31</v>
      </c>
      <c r="C6" s="297" t="s">
        <v>1294</v>
      </c>
      <c r="D6" s="297" t="s">
        <v>4880</v>
      </c>
      <c r="E6" s="297" t="s">
        <v>1295</v>
      </c>
      <c r="F6" s="297" t="s">
        <v>3060</v>
      </c>
      <c r="G6" s="297"/>
      <c r="H6" s="297" t="s">
        <v>3227</v>
      </c>
      <c r="I6" s="297" t="s">
        <v>3165</v>
      </c>
      <c r="J6" s="45" t="str">
        <f t="shared" si="0"/>
        <v>GoldAccurate Refining Group</v>
      </c>
      <c r="K6" s="45" t="str">
        <f t="shared" si="1"/>
        <v>GoldAccurate Refining Group</v>
      </c>
      <c r="L6" s="243"/>
    </row>
    <row r="7" spans="1:13" ht="10.5" customHeight="1">
      <c r="A7" s="297" t="s">
        <v>2290</v>
      </c>
      <c r="B7" s="297" t="s">
        <v>2636</v>
      </c>
      <c r="C7" s="297" t="s">
        <v>2636</v>
      </c>
      <c r="D7" s="297" t="s">
        <v>4880</v>
      </c>
      <c r="E7" s="297" t="s">
        <v>2637</v>
      </c>
      <c r="F7" s="297" t="s">
        <v>3060</v>
      </c>
      <c r="G7" s="297"/>
      <c r="H7" s="297" t="s">
        <v>3061</v>
      </c>
      <c r="I7" s="297" t="s">
        <v>3062</v>
      </c>
      <c r="J7" s="45" t="str">
        <f t="shared" si="0"/>
        <v>GoldAdvanced Chemical Company</v>
      </c>
      <c r="K7" s="45" t="str">
        <f t="shared" si="1"/>
        <v>GoldAdvanced Chemical Company</v>
      </c>
      <c r="L7" s="243"/>
    </row>
    <row r="8" spans="1:13" ht="10.5" customHeight="1">
      <c r="A8" s="297" t="s">
        <v>2290</v>
      </c>
      <c r="B8" s="297" t="s">
        <v>3255</v>
      </c>
      <c r="C8" s="297" t="s">
        <v>2289</v>
      </c>
      <c r="D8" s="297" t="s">
        <v>2124</v>
      </c>
      <c r="E8" s="297" t="s">
        <v>1309</v>
      </c>
      <c r="F8" s="297" t="s">
        <v>3060</v>
      </c>
      <c r="G8" s="297"/>
      <c r="H8" s="297" t="s">
        <v>3253</v>
      </c>
      <c r="I8" s="297" t="s">
        <v>3254</v>
      </c>
      <c r="J8" s="45" t="str">
        <f t="shared" si="0"/>
        <v>GoldAGR Mathey</v>
      </c>
      <c r="K8" s="45" t="str">
        <f t="shared" si="1"/>
        <v>GoldAGR Mathey</v>
      </c>
      <c r="L8" s="243"/>
    </row>
    <row r="9" spans="1:13" ht="10.5" customHeight="1">
      <c r="A9" s="297" t="s">
        <v>2290</v>
      </c>
      <c r="B9" s="297" t="s">
        <v>3256</v>
      </c>
      <c r="C9" s="297" t="s">
        <v>2289</v>
      </c>
      <c r="D9" s="297" t="s">
        <v>2124</v>
      </c>
      <c r="E9" s="297" t="s">
        <v>1309</v>
      </c>
      <c r="F9" s="297" t="s">
        <v>3060</v>
      </c>
      <c r="G9" s="297"/>
      <c r="H9" s="297" t="s">
        <v>3253</v>
      </c>
      <c r="I9" s="297" t="s">
        <v>3254</v>
      </c>
      <c r="J9" s="45" t="str">
        <f t="shared" si="0"/>
        <v>GoldAGR(Perth Mint Australia)</v>
      </c>
      <c r="K9" s="45" t="str">
        <f t="shared" si="1"/>
        <v>GoldAGR(Perth Mint Australia)</v>
      </c>
      <c r="L9" s="243"/>
    </row>
    <row r="10" spans="1:13" ht="10.5" customHeight="1">
      <c r="A10" s="297" t="s">
        <v>2290</v>
      </c>
      <c r="B10" s="297" t="s">
        <v>4036</v>
      </c>
      <c r="C10" s="297" t="s">
        <v>4036</v>
      </c>
      <c r="D10" s="297" t="s">
        <v>2217</v>
      </c>
      <c r="E10" s="297" t="s">
        <v>1212</v>
      </c>
      <c r="F10" s="297" t="s">
        <v>3060</v>
      </c>
      <c r="G10" s="297"/>
      <c r="H10" s="297" t="s">
        <v>3063</v>
      </c>
      <c r="I10" s="297" t="s">
        <v>3064</v>
      </c>
      <c r="J10" s="45" t="str">
        <f t="shared" si="0"/>
        <v>GoldAida Chemical Industries Co., Ltd.</v>
      </c>
      <c r="K10" s="45" t="str">
        <f t="shared" si="1"/>
        <v>GoldAida Chemical Industries Co., Ltd.</v>
      </c>
      <c r="L10" s="243"/>
    </row>
    <row r="11" spans="1:13" ht="10.5" customHeight="1">
      <c r="A11" s="297" t="s">
        <v>2290</v>
      </c>
      <c r="B11" s="297" t="s">
        <v>3286</v>
      </c>
      <c r="C11" s="297" t="s">
        <v>3286</v>
      </c>
      <c r="D11" s="297" t="s">
        <v>2117</v>
      </c>
      <c r="E11" s="297" t="s">
        <v>3287</v>
      </c>
      <c r="F11" s="297" t="s">
        <v>3060</v>
      </c>
      <c r="G11" s="297"/>
      <c r="H11" s="297" t="s">
        <v>3288</v>
      </c>
      <c r="I11" s="297" t="s">
        <v>3288</v>
      </c>
      <c r="J11" s="45" t="str">
        <f t="shared" si="0"/>
        <v>GoldAl Etihad Gold Refinery DMCC</v>
      </c>
      <c r="K11" s="45" t="str">
        <f t="shared" si="1"/>
        <v>GoldAl Etihad Gold Refinery DMCC</v>
      </c>
      <c r="L11" s="243"/>
    </row>
    <row r="12" spans="1:13" ht="10.5" customHeight="1">
      <c r="A12" s="297" t="s">
        <v>2290</v>
      </c>
      <c r="B12" s="297" t="s">
        <v>69</v>
      </c>
      <c r="C12" s="297" t="s">
        <v>69</v>
      </c>
      <c r="D12" s="297" t="s">
        <v>2164</v>
      </c>
      <c r="E12" s="297" t="s">
        <v>1213</v>
      </c>
      <c r="F12" s="297" t="s">
        <v>3060</v>
      </c>
      <c r="G12" s="297"/>
      <c r="H12" s="297" t="s">
        <v>3065</v>
      </c>
      <c r="I12" s="297" t="s">
        <v>3066</v>
      </c>
      <c r="J12" s="45" t="str">
        <f t="shared" si="0"/>
        <v>GoldAllgemeine Gold-und Silberscheideanstalt A.G.</v>
      </c>
      <c r="K12" s="45" t="str">
        <f t="shared" si="1"/>
        <v>GoldAllgemeine Gold-und Silberscheideanstalt A.G.</v>
      </c>
      <c r="L12" s="243"/>
    </row>
    <row r="13" spans="1:13" ht="10.5" customHeight="1">
      <c r="A13" s="297" t="s">
        <v>2290</v>
      </c>
      <c r="B13" s="297" t="s">
        <v>1168</v>
      </c>
      <c r="C13" s="297" t="s">
        <v>1168</v>
      </c>
      <c r="D13" s="297" t="s">
        <v>1731</v>
      </c>
      <c r="E13" s="297" t="s">
        <v>1214</v>
      </c>
      <c r="F13" s="297" t="s">
        <v>3060</v>
      </c>
      <c r="G13" s="297"/>
      <c r="H13" s="297" t="s">
        <v>3067</v>
      </c>
      <c r="I13" s="297" t="s">
        <v>3068</v>
      </c>
      <c r="J13" s="45" t="str">
        <f t="shared" si="0"/>
        <v>GoldAlmalyk Mining and Metallurgical Complex (AMMC)</v>
      </c>
      <c r="K13" s="45" t="str">
        <f t="shared" si="1"/>
        <v>GoldAlmalyk Mining and Metallurgical Complex (AMMC)</v>
      </c>
      <c r="L13" s="243"/>
    </row>
    <row r="14" spans="1:13" ht="10.5" customHeight="1">
      <c r="A14" s="297" t="s">
        <v>2290</v>
      </c>
      <c r="B14" s="297" t="s">
        <v>3076</v>
      </c>
      <c r="C14" s="297" t="s">
        <v>4545</v>
      </c>
      <c r="D14" s="297" t="s">
        <v>2217</v>
      </c>
      <c r="E14" s="297" t="s">
        <v>1217</v>
      </c>
      <c r="F14" s="297" t="s">
        <v>3060</v>
      </c>
      <c r="G14" s="297"/>
      <c r="H14" s="297" t="s">
        <v>3074</v>
      </c>
      <c r="I14" s="297" t="s">
        <v>3075</v>
      </c>
      <c r="J14" s="45" t="str">
        <f t="shared" si="0"/>
        <v>GoldAmagasaki Factory, Hyogo Prefecture, Japan</v>
      </c>
      <c r="K14" s="45" t="str">
        <f t="shared" si="1"/>
        <v>GoldAmagasaki Factory, Hyogo Prefecture, Japan</v>
      </c>
      <c r="L14" s="243"/>
    </row>
    <row r="15" spans="1:13" ht="10.5" customHeight="1">
      <c r="A15" s="297" t="s">
        <v>2290</v>
      </c>
      <c r="B15" s="297" t="s">
        <v>3069</v>
      </c>
      <c r="C15" s="297" t="s">
        <v>3069</v>
      </c>
      <c r="D15" s="297" t="s">
        <v>2139</v>
      </c>
      <c r="E15" s="297" t="s">
        <v>1215</v>
      </c>
      <c r="F15" s="297" t="s">
        <v>3060</v>
      </c>
      <c r="G15" s="297"/>
      <c r="H15" s="297" t="s">
        <v>3070</v>
      </c>
      <c r="I15" s="297" t="s">
        <v>3071</v>
      </c>
      <c r="J15" s="45" t="str">
        <f t="shared" si="0"/>
        <v>GoldAngloGold Ashanti Córrego do Sítio Mineração</v>
      </c>
      <c r="K15" s="45" t="str">
        <f t="shared" si="1"/>
        <v>GoldAngloGold Ashanti Córrego do Sítio Mineração</v>
      </c>
      <c r="L15" s="243"/>
    </row>
    <row r="16" spans="1:13" ht="10.5" customHeight="1">
      <c r="A16" s="297" t="s">
        <v>2290</v>
      </c>
      <c r="B16" s="297" t="s">
        <v>3243</v>
      </c>
      <c r="C16" s="297" t="s">
        <v>4136</v>
      </c>
      <c r="D16" s="297" t="s">
        <v>2150</v>
      </c>
      <c r="E16" s="297" t="s">
        <v>1303</v>
      </c>
      <c r="F16" s="297" t="s">
        <v>3060</v>
      </c>
      <c r="G16" s="297"/>
      <c r="H16" s="297" t="s">
        <v>3241</v>
      </c>
      <c r="I16" s="297" t="s">
        <v>3242</v>
      </c>
      <c r="J16" s="45" t="str">
        <f t="shared" si="0"/>
        <v>GoldAnhui Tongling Nonferrous Metal Mining Co., Ltd.</v>
      </c>
      <c r="K16" s="45" t="str">
        <f t="shared" si="1"/>
        <v>GoldAnhui Tongling Nonferrous Metal Mining Co., Ltd.</v>
      </c>
      <c r="L16" s="243"/>
    </row>
    <row r="17" spans="1:12" ht="10.5" customHeight="1">
      <c r="A17" s="297" t="s">
        <v>2290</v>
      </c>
      <c r="B17" s="297" t="s">
        <v>3257</v>
      </c>
      <c r="C17" s="297" t="s">
        <v>2289</v>
      </c>
      <c r="D17" s="297" t="s">
        <v>2124</v>
      </c>
      <c r="E17" s="297" t="s">
        <v>1309</v>
      </c>
      <c r="F17" s="297" t="s">
        <v>3060</v>
      </c>
      <c r="G17" s="297"/>
      <c r="H17" s="297" t="s">
        <v>3253</v>
      </c>
      <c r="I17" s="297" t="s">
        <v>3254</v>
      </c>
      <c r="J17" s="45" t="str">
        <f t="shared" si="0"/>
        <v>GoldANZ (Perth Mint 4N)</v>
      </c>
      <c r="K17" s="45" t="str">
        <f t="shared" si="1"/>
        <v>GoldANZ (Perth Mint 4N)</v>
      </c>
      <c r="L17" s="243"/>
    </row>
    <row r="18" spans="1:12" ht="10.5" customHeight="1">
      <c r="A18" s="297" t="s">
        <v>2290</v>
      </c>
      <c r="B18" s="297" t="s">
        <v>4544</v>
      </c>
      <c r="C18" s="297" t="s">
        <v>4544</v>
      </c>
      <c r="D18" s="297" t="s">
        <v>2148</v>
      </c>
      <c r="E18" s="297" t="s">
        <v>1216</v>
      </c>
      <c r="F18" s="297" t="s">
        <v>3060</v>
      </c>
      <c r="G18" s="297"/>
      <c r="H18" s="297" t="s">
        <v>3072</v>
      </c>
      <c r="I18" s="297" t="s">
        <v>3073</v>
      </c>
      <c r="J18" s="45" t="str">
        <f t="shared" si="0"/>
        <v>GoldArgor-Heraeus S.A.</v>
      </c>
      <c r="K18" s="45" t="str">
        <f t="shared" si="1"/>
        <v>GoldArgor-Heraeus S.A.</v>
      </c>
      <c r="L18" s="243"/>
    </row>
    <row r="19" spans="1:12" ht="10.5" customHeight="1">
      <c r="A19" s="297" t="s">
        <v>2290</v>
      </c>
      <c r="B19" s="297" t="s">
        <v>4545</v>
      </c>
      <c r="C19" s="297" t="s">
        <v>4545</v>
      </c>
      <c r="D19" s="297" t="s">
        <v>2217</v>
      </c>
      <c r="E19" s="297" t="s">
        <v>1217</v>
      </c>
      <c r="F19" s="297" t="s">
        <v>3060</v>
      </c>
      <c r="G19" s="297"/>
      <c r="H19" s="297" t="s">
        <v>3074</v>
      </c>
      <c r="I19" s="297" t="s">
        <v>3075</v>
      </c>
      <c r="J19" s="45" t="str">
        <f t="shared" si="0"/>
        <v>GoldAsahi Pretec Corp.</v>
      </c>
      <c r="K19" s="45" t="str">
        <f t="shared" si="1"/>
        <v>GoldAsahi Pretec Corp.</v>
      </c>
      <c r="L19" s="243"/>
    </row>
    <row r="20" spans="1:12" ht="10.5" customHeight="1">
      <c r="A20" s="297" t="s">
        <v>2290</v>
      </c>
      <c r="B20" s="297" t="s">
        <v>4546</v>
      </c>
      <c r="C20" s="297" t="s">
        <v>4546</v>
      </c>
      <c r="D20" s="297" t="s">
        <v>2146</v>
      </c>
      <c r="E20" s="297" t="s">
        <v>1252</v>
      </c>
      <c r="F20" s="297" t="s">
        <v>3060</v>
      </c>
      <c r="G20" s="297"/>
      <c r="H20" s="297" t="s">
        <v>3144</v>
      </c>
      <c r="I20" s="297" t="s">
        <v>3145</v>
      </c>
      <c r="J20" s="45" t="str">
        <f t="shared" si="0"/>
        <v>GoldAsahi Refining Canada Ltd.</v>
      </c>
      <c r="K20" s="45" t="str">
        <f t="shared" si="1"/>
        <v>GoldAsahi Refining Canada Ltd.</v>
      </c>
      <c r="L20" s="243"/>
    </row>
    <row r="21" spans="1:12" ht="10.5" customHeight="1">
      <c r="A21" s="297" t="s">
        <v>2290</v>
      </c>
      <c r="B21" s="297" t="s">
        <v>4152</v>
      </c>
      <c r="C21" s="297" t="s">
        <v>4152</v>
      </c>
      <c r="D21" s="297" t="s">
        <v>4880</v>
      </c>
      <c r="E21" s="297" t="s">
        <v>1251</v>
      </c>
      <c r="F21" s="297" t="s">
        <v>3060</v>
      </c>
      <c r="G21" s="297"/>
      <c r="H21" s="297" t="s">
        <v>3141</v>
      </c>
      <c r="I21" s="297" t="s">
        <v>3142</v>
      </c>
      <c r="J21" s="45" t="str">
        <f t="shared" si="0"/>
        <v>GoldAsahi Refining USA Inc.</v>
      </c>
      <c r="K21" s="45" t="str">
        <f t="shared" si="1"/>
        <v>GoldAsahi Refining USA Inc.</v>
      </c>
      <c r="L21" s="243"/>
    </row>
    <row r="22" spans="1:12" ht="10.5" customHeight="1">
      <c r="A22" s="297" t="s">
        <v>2290</v>
      </c>
      <c r="B22" s="297" t="s">
        <v>4037</v>
      </c>
      <c r="C22" s="297" t="s">
        <v>4037</v>
      </c>
      <c r="D22" s="297" t="s">
        <v>2217</v>
      </c>
      <c r="E22" s="297" t="s">
        <v>1218</v>
      </c>
      <c r="F22" s="297" t="s">
        <v>3060</v>
      </c>
      <c r="G22" s="297"/>
      <c r="H22" s="297" t="s">
        <v>3077</v>
      </c>
      <c r="I22" s="297" t="s">
        <v>3078</v>
      </c>
      <c r="J22" s="45" t="str">
        <f t="shared" si="0"/>
        <v>GoldAsaka Riken Co., Ltd.</v>
      </c>
      <c r="K22" s="45" t="str">
        <f t="shared" si="1"/>
        <v>GoldAsaka Riken Co., Ltd.</v>
      </c>
      <c r="L22" s="243"/>
    </row>
    <row r="23" spans="1:12" ht="10.5" customHeight="1">
      <c r="A23" s="297" t="s">
        <v>2290</v>
      </c>
      <c r="B23" s="297" t="s">
        <v>2414</v>
      </c>
      <c r="C23" s="297" t="s">
        <v>1169</v>
      </c>
      <c r="D23" s="297" t="s">
        <v>1724</v>
      </c>
      <c r="E23" s="297" t="s">
        <v>1219</v>
      </c>
      <c r="F23" s="297" t="s">
        <v>3060</v>
      </c>
      <c r="G23" s="297"/>
      <c r="H23" s="297" t="s">
        <v>3079</v>
      </c>
      <c r="I23" s="297" t="s">
        <v>3080</v>
      </c>
      <c r="J23" s="45" t="str">
        <f t="shared" si="0"/>
        <v>GoldATAkulche</v>
      </c>
      <c r="K23" s="45" t="str">
        <f t="shared" si="1"/>
        <v>GoldATAkulche</v>
      </c>
      <c r="L23" s="243"/>
    </row>
    <row r="24" spans="1:12" ht="10.5" customHeight="1">
      <c r="A24" s="297" t="s">
        <v>2290</v>
      </c>
      <c r="B24" s="297" t="s">
        <v>1169</v>
      </c>
      <c r="C24" s="297" t="s">
        <v>1169</v>
      </c>
      <c r="D24" s="297" t="s">
        <v>1724</v>
      </c>
      <c r="E24" s="297" t="s">
        <v>1219</v>
      </c>
      <c r="F24" s="297" t="s">
        <v>3060</v>
      </c>
      <c r="G24" s="297"/>
      <c r="H24" s="297" t="s">
        <v>3079</v>
      </c>
      <c r="I24" s="297" t="s">
        <v>3080</v>
      </c>
      <c r="J24" s="45" t="str">
        <f t="shared" si="0"/>
        <v>GoldAtasay Kuyumculuk Sanayi Ve Ticaret A.S.</v>
      </c>
      <c r="K24" s="45" t="str">
        <f t="shared" si="1"/>
        <v>GoldAtasay Kuyumculuk Sanayi Ve Ticaret A.S.</v>
      </c>
      <c r="L24" s="243"/>
    </row>
    <row r="25" spans="1:12" ht="10.5" customHeight="1">
      <c r="A25" s="297" t="s">
        <v>2290</v>
      </c>
      <c r="B25" s="297" t="s">
        <v>4547</v>
      </c>
      <c r="C25" s="297" t="s">
        <v>4547</v>
      </c>
      <c r="D25" s="297" t="s">
        <v>1743</v>
      </c>
      <c r="E25" s="297" t="s">
        <v>4548</v>
      </c>
      <c r="F25" s="297" t="s">
        <v>3060</v>
      </c>
      <c r="G25" s="297"/>
      <c r="H25" s="297" t="s">
        <v>4549</v>
      </c>
      <c r="I25" s="297" t="s">
        <v>3206</v>
      </c>
      <c r="J25" s="45" t="str">
        <f t="shared" si="0"/>
        <v>GoldAU Traders and Refiners</v>
      </c>
      <c r="K25" s="45" t="str">
        <f t="shared" si="1"/>
        <v>GoldAU Traders and Refiners</v>
      </c>
      <c r="L25" s="243"/>
    </row>
    <row r="26" spans="1:12" ht="10.5" customHeight="1">
      <c r="A26" s="297" t="s">
        <v>2290</v>
      </c>
      <c r="B26" s="297" t="s">
        <v>4550</v>
      </c>
      <c r="C26" s="297" t="s">
        <v>4550</v>
      </c>
      <c r="D26" s="297" t="s">
        <v>4880</v>
      </c>
      <c r="E26" s="297" t="s">
        <v>4551</v>
      </c>
      <c r="F26" s="297" t="s">
        <v>3060</v>
      </c>
      <c r="G26" s="297"/>
      <c r="H26" s="297" t="s">
        <v>4552</v>
      </c>
      <c r="I26" s="297" t="s">
        <v>4553</v>
      </c>
      <c r="J26" s="45" t="str">
        <f t="shared" si="0"/>
        <v>GoldAURA-II</v>
      </c>
      <c r="K26" s="45" t="str">
        <f t="shared" si="1"/>
        <v>GoldAURA-II</v>
      </c>
      <c r="L26" s="243"/>
    </row>
    <row r="27" spans="1:12" ht="10.5" customHeight="1">
      <c r="A27" s="297" t="s">
        <v>2290</v>
      </c>
      <c r="B27" s="297" t="s">
        <v>2415</v>
      </c>
      <c r="C27" s="297" t="s">
        <v>2415</v>
      </c>
      <c r="D27" s="297" t="s">
        <v>2164</v>
      </c>
      <c r="E27" s="297" t="s">
        <v>1220</v>
      </c>
      <c r="F27" s="297" t="s">
        <v>3060</v>
      </c>
      <c r="G27" s="297"/>
      <c r="H27" s="297" t="s">
        <v>3081</v>
      </c>
      <c r="I27" s="297" t="s">
        <v>3082</v>
      </c>
      <c r="J27" s="45" t="str">
        <f t="shared" si="0"/>
        <v>GoldAurubis AG</v>
      </c>
      <c r="K27" s="45" t="str">
        <f t="shared" si="1"/>
        <v>GoldAurubis AG</v>
      </c>
      <c r="L27" s="243"/>
    </row>
    <row r="28" spans="1:12" ht="10.5" customHeight="1">
      <c r="A28" s="297" t="s">
        <v>2290</v>
      </c>
      <c r="B28" s="297" t="s">
        <v>4554</v>
      </c>
      <c r="C28" s="297" t="s">
        <v>4554</v>
      </c>
      <c r="D28" s="297" t="s">
        <v>2207</v>
      </c>
      <c r="E28" s="297" t="s">
        <v>4555</v>
      </c>
      <c r="F28" s="297" t="s">
        <v>3060</v>
      </c>
      <c r="G28" s="297"/>
      <c r="H28" s="297" t="s">
        <v>4627</v>
      </c>
      <c r="I28" s="297" t="s">
        <v>4628</v>
      </c>
      <c r="J28" s="45" t="str">
        <f t="shared" si="0"/>
        <v>GoldBangalore Refinery</v>
      </c>
      <c r="K28" s="45" t="str">
        <f t="shared" si="1"/>
        <v>GoldBangalore Refinery</v>
      </c>
      <c r="L28" s="243"/>
    </row>
    <row r="29" spans="1:12" ht="10.5" customHeight="1">
      <c r="A29" s="297" t="s">
        <v>2290</v>
      </c>
      <c r="B29" s="297" t="s">
        <v>1757</v>
      </c>
      <c r="C29" s="297" t="s">
        <v>1757</v>
      </c>
      <c r="D29" s="297" t="s">
        <v>1679</v>
      </c>
      <c r="E29" s="297" t="s">
        <v>1221</v>
      </c>
      <c r="F29" s="297" t="s">
        <v>3060</v>
      </c>
      <c r="G29" s="297"/>
      <c r="H29" s="297" t="s">
        <v>4154</v>
      </c>
      <c r="I29" s="297" t="s">
        <v>3084</v>
      </c>
      <c r="J29" s="45" t="str">
        <f t="shared" si="0"/>
        <v>GoldBangko Sentral ng Pilipinas (Central Bank of the Philippines)</v>
      </c>
      <c r="K29" s="45" t="str">
        <f t="shared" si="1"/>
        <v>GoldBangko Sentral ng Pilipinas (Central Bank of the Philippines)</v>
      </c>
      <c r="L29" s="243"/>
    </row>
    <row r="30" spans="1:12" ht="10.5" customHeight="1">
      <c r="A30" s="297" t="s">
        <v>2290</v>
      </c>
      <c r="B30" s="297" t="s">
        <v>2417</v>
      </c>
      <c r="C30" s="297" t="s">
        <v>2417</v>
      </c>
      <c r="D30" s="297" t="s">
        <v>1709</v>
      </c>
      <c r="E30" s="297" t="s">
        <v>1222</v>
      </c>
      <c r="F30" s="297" t="s">
        <v>3060</v>
      </c>
      <c r="G30" s="297"/>
      <c r="H30" s="297" t="s">
        <v>3085</v>
      </c>
      <c r="I30" s="297" t="s">
        <v>3086</v>
      </c>
      <c r="J30" s="45" t="str">
        <f t="shared" si="0"/>
        <v>GoldBoliden AB</v>
      </c>
      <c r="K30" s="45" t="str">
        <f t="shared" si="1"/>
        <v>GoldBoliden AB</v>
      </c>
      <c r="L30" s="243"/>
    </row>
    <row r="31" spans="1:12" ht="10.5" customHeight="1">
      <c r="A31" s="297" t="s">
        <v>2290</v>
      </c>
      <c r="B31" s="297" t="s">
        <v>1223</v>
      </c>
      <c r="C31" s="297" t="s">
        <v>1223</v>
      </c>
      <c r="D31" s="297" t="s">
        <v>2164</v>
      </c>
      <c r="E31" s="297" t="s">
        <v>1224</v>
      </c>
      <c r="F31" s="297" t="s">
        <v>3060</v>
      </c>
      <c r="G31" s="297"/>
      <c r="H31" s="297" t="s">
        <v>3065</v>
      </c>
      <c r="I31" s="297" t="s">
        <v>3066</v>
      </c>
      <c r="J31" s="45" t="str">
        <f t="shared" si="0"/>
        <v>GoldC. Hafner GmbH + Co. KG</v>
      </c>
      <c r="K31" s="45" t="str">
        <f t="shared" si="1"/>
        <v>GoldC. Hafner GmbH + Co. KG</v>
      </c>
      <c r="L31" s="243"/>
    </row>
    <row r="32" spans="1:12" ht="10.5" customHeight="1">
      <c r="A32" s="297" t="s">
        <v>2290</v>
      </c>
      <c r="B32" s="297" t="s">
        <v>1758</v>
      </c>
      <c r="C32" s="297" t="s">
        <v>1758</v>
      </c>
      <c r="D32" s="297" t="s">
        <v>2243</v>
      </c>
      <c r="E32" s="297" t="s">
        <v>1225</v>
      </c>
      <c r="F32" s="297" t="s">
        <v>3060</v>
      </c>
      <c r="G32" s="297"/>
      <c r="H32" s="297" t="s">
        <v>3087</v>
      </c>
      <c r="I32" s="297" t="s">
        <v>3088</v>
      </c>
      <c r="J32" s="45" t="str">
        <f t="shared" si="0"/>
        <v>GoldCaridad</v>
      </c>
      <c r="K32" s="45" t="str">
        <f t="shared" si="1"/>
        <v>GoldCaridad</v>
      </c>
      <c r="L32" s="243"/>
    </row>
    <row r="33" spans="1:12" ht="10.5" customHeight="1">
      <c r="A33" s="297" t="s">
        <v>2290</v>
      </c>
      <c r="B33" s="297" t="s">
        <v>3091</v>
      </c>
      <c r="C33" s="297" t="s">
        <v>4207</v>
      </c>
      <c r="D33" s="297" t="s">
        <v>2146</v>
      </c>
      <c r="E33" s="297" t="s">
        <v>1226</v>
      </c>
      <c r="F33" s="297" t="s">
        <v>3060</v>
      </c>
      <c r="G33" s="297"/>
      <c r="H33" s="297" t="s">
        <v>3089</v>
      </c>
      <c r="I33" s="297" t="s">
        <v>3090</v>
      </c>
      <c r="J33" s="45" t="str">
        <f t="shared" si="0"/>
        <v>GoldCCR</v>
      </c>
      <c r="K33" s="45" t="str">
        <f t="shared" si="1"/>
        <v>GoldCCR</v>
      </c>
      <c r="L33" s="243"/>
    </row>
    <row r="34" spans="1:12" ht="10.5" customHeight="1">
      <c r="A34" s="297" t="s">
        <v>2290</v>
      </c>
      <c r="B34" s="297" t="s">
        <v>4207</v>
      </c>
      <c r="C34" s="297" t="s">
        <v>4207</v>
      </c>
      <c r="D34" s="297" t="s">
        <v>2146</v>
      </c>
      <c r="E34" s="297" t="s">
        <v>1226</v>
      </c>
      <c r="F34" s="297" t="s">
        <v>3060</v>
      </c>
      <c r="G34" s="297"/>
      <c r="H34" s="297" t="s">
        <v>3089</v>
      </c>
      <c r="I34" s="297" t="s">
        <v>3090</v>
      </c>
      <c r="J34" s="45" t="str">
        <f t="shared" si="0"/>
        <v>GoldCCR Refinery - Glencore Canada Corporation</v>
      </c>
      <c r="K34" s="45" t="str">
        <f t="shared" si="1"/>
        <v>GoldCCR Refinery - Glencore Canada Corporation</v>
      </c>
      <c r="L34" s="243"/>
    </row>
    <row r="35" spans="1:12" ht="10.5" customHeight="1">
      <c r="A35" s="297" t="s">
        <v>2290</v>
      </c>
      <c r="B35" s="297" t="s">
        <v>4556</v>
      </c>
      <c r="C35" s="297" t="s">
        <v>4557</v>
      </c>
      <c r="D35" s="297" t="s">
        <v>2148</v>
      </c>
      <c r="E35" s="297" t="s">
        <v>1227</v>
      </c>
      <c r="F35" s="297" t="s">
        <v>3060</v>
      </c>
      <c r="G35" s="297"/>
      <c r="H35" s="297" t="s">
        <v>3093</v>
      </c>
      <c r="I35" s="297" t="s">
        <v>3094</v>
      </c>
      <c r="J35" s="45" t="str">
        <f t="shared" si="0"/>
        <v>GoldCendres + M?taux SA</v>
      </c>
      <c r="K35" s="45" t="str">
        <f t="shared" si="1"/>
        <v>GoldCendres + M?taux SA</v>
      </c>
      <c r="L35" s="243"/>
    </row>
    <row r="36" spans="1:12" ht="10.5" customHeight="1">
      <c r="A36" s="297" t="s">
        <v>2290</v>
      </c>
      <c r="B36" s="297" t="s">
        <v>4557</v>
      </c>
      <c r="C36" s="297" t="s">
        <v>4557</v>
      </c>
      <c r="D36" s="297" t="s">
        <v>2148</v>
      </c>
      <c r="E36" s="297" t="s">
        <v>1227</v>
      </c>
      <c r="F36" s="297" t="s">
        <v>3060</v>
      </c>
      <c r="G36" s="297"/>
      <c r="H36" s="297" t="s">
        <v>3093</v>
      </c>
      <c r="I36" s="297" t="s">
        <v>3094</v>
      </c>
      <c r="J36" s="45" t="str">
        <f t="shared" si="0"/>
        <v>GoldCendres + Métaux S.A.</v>
      </c>
      <c r="K36" s="45" t="str">
        <f t="shared" si="1"/>
        <v>GoldCendres + Métaux S.A.</v>
      </c>
      <c r="L36" s="243"/>
    </row>
    <row r="37" spans="1:12" ht="10.5" customHeight="1">
      <c r="A37" s="297" t="s">
        <v>2290</v>
      </c>
      <c r="B37" s="297" t="s">
        <v>2416</v>
      </c>
      <c r="C37" s="297" t="s">
        <v>1757</v>
      </c>
      <c r="D37" s="297" t="s">
        <v>1679</v>
      </c>
      <c r="E37" s="297" t="s">
        <v>1221</v>
      </c>
      <c r="F37" s="297" t="s">
        <v>3060</v>
      </c>
      <c r="G37" s="297"/>
      <c r="H37" s="297" t="s">
        <v>4154</v>
      </c>
      <c r="I37" s="297" t="s">
        <v>3084</v>
      </c>
      <c r="J37" s="45" t="str">
        <f t="shared" si="0"/>
        <v>GoldCentral Bank of the Philippines Gold Refinery &amp; Mint</v>
      </c>
      <c r="K37" s="45" t="str">
        <f t="shared" si="1"/>
        <v>GoldCentral Bank of the Philippines Gold Refinery &amp; Mint</v>
      </c>
      <c r="L37" s="243"/>
    </row>
    <row r="38" spans="1:12" ht="10.5" customHeight="1">
      <c r="A38" s="297" t="s">
        <v>2290</v>
      </c>
      <c r="B38" s="297" t="s">
        <v>3097</v>
      </c>
      <c r="C38" s="297" t="s">
        <v>4038</v>
      </c>
      <c r="D38" s="297" t="s">
        <v>2150</v>
      </c>
      <c r="E38" s="297" t="s">
        <v>1312</v>
      </c>
      <c r="F38" s="297" t="s">
        <v>3060</v>
      </c>
      <c r="G38" s="297"/>
      <c r="H38" s="297" t="s">
        <v>3095</v>
      </c>
      <c r="I38" s="297" t="s">
        <v>3096</v>
      </c>
      <c r="J38" s="45" t="str">
        <f t="shared" si="0"/>
        <v>GoldCHALCO Yunnan Copper Co. Ltd.</v>
      </c>
      <c r="K38" s="45" t="str">
        <f t="shared" si="1"/>
        <v>GoldCHALCO Yunnan Copper Co. Ltd.</v>
      </c>
      <c r="L38" s="243"/>
    </row>
    <row r="39" spans="1:12" ht="10.5" customHeight="1">
      <c r="A39" s="297" t="s">
        <v>2290</v>
      </c>
      <c r="B39" s="297" t="s">
        <v>70</v>
      </c>
      <c r="C39" s="297" t="s">
        <v>70</v>
      </c>
      <c r="D39" s="297" t="s">
        <v>2214</v>
      </c>
      <c r="E39" s="297" t="s">
        <v>1228</v>
      </c>
      <c r="F39" s="297" t="s">
        <v>3060</v>
      </c>
      <c r="G39" s="297"/>
      <c r="H39" s="297" t="s">
        <v>3098</v>
      </c>
      <c r="I39" s="297" t="s">
        <v>3099</v>
      </c>
      <c r="J39" s="45" t="str">
        <f t="shared" si="0"/>
        <v>GoldChimet S.p.A.</v>
      </c>
      <c r="K39" s="45" t="str">
        <f t="shared" si="1"/>
        <v>GoldChimet S.p.A.</v>
      </c>
      <c r="L39" s="243"/>
    </row>
    <row r="40" spans="1:12" ht="10.5" customHeight="1">
      <c r="A40" s="297" t="s">
        <v>2290</v>
      </c>
      <c r="B40" s="297" t="s">
        <v>32</v>
      </c>
      <c r="C40" s="297" t="s">
        <v>2540</v>
      </c>
      <c r="D40" s="297" t="s">
        <v>2150</v>
      </c>
      <c r="E40" s="297" t="s">
        <v>1313</v>
      </c>
      <c r="F40" s="297" t="s">
        <v>3060</v>
      </c>
      <c r="G40" s="297"/>
      <c r="H40" s="297" t="s">
        <v>3261</v>
      </c>
      <c r="I40" s="297" t="s">
        <v>3159</v>
      </c>
      <c r="J40" s="45" t="str">
        <f t="shared" si="0"/>
        <v>GoldChina Henan Zhongyuan Gold Smelter</v>
      </c>
      <c r="K40" s="45" t="str">
        <f t="shared" si="1"/>
        <v>GoldChina Henan Zhongyuan Gold Smelter</v>
      </c>
      <c r="L40" s="243"/>
    </row>
    <row r="41" spans="1:12" ht="10.5" customHeight="1">
      <c r="A41" s="297" t="s">
        <v>2290</v>
      </c>
      <c r="B41" s="297" t="s">
        <v>33</v>
      </c>
      <c r="C41" s="297" t="s">
        <v>4063</v>
      </c>
      <c r="D41" s="297" t="s">
        <v>2150</v>
      </c>
      <c r="E41" s="297" t="s">
        <v>1301</v>
      </c>
      <c r="F41" s="297" t="s">
        <v>3060</v>
      </c>
      <c r="G41" s="297"/>
      <c r="H41" s="297" t="s">
        <v>3221</v>
      </c>
      <c r="I41" s="297" t="s">
        <v>3198</v>
      </c>
      <c r="J41" s="45" t="str">
        <f t="shared" si="0"/>
        <v>GoldChina's Shandong Gold Mining Co., Ltd</v>
      </c>
      <c r="K41" s="45" t="str">
        <f t="shared" si="1"/>
        <v>GoldChina's Shandong Gold Mining Co., Ltd</v>
      </c>
      <c r="L41" s="243"/>
    </row>
    <row r="42" spans="1:12" ht="10.5" customHeight="1">
      <c r="A42" s="297" t="s">
        <v>2290</v>
      </c>
      <c r="B42" s="297" t="s">
        <v>964</v>
      </c>
      <c r="C42" s="297" t="s">
        <v>964</v>
      </c>
      <c r="D42" s="297" t="s">
        <v>2217</v>
      </c>
      <c r="E42" s="297" t="s">
        <v>1229</v>
      </c>
      <c r="F42" s="297" t="s">
        <v>3060</v>
      </c>
      <c r="G42" s="297"/>
      <c r="H42" s="297" t="s">
        <v>3100</v>
      </c>
      <c r="I42" s="297" t="s">
        <v>3096</v>
      </c>
      <c r="J42" s="45" t="str">
        <f t="shared" si="0"/>
        <v>GoldChugai Mining</v>
      </c>
      <c r="K42" s="45" t="str">
        <f t="shared" si="1"/>
        <v>GoldChugai Mining</v>
      </c>
      <c r="L42" s="243"/>
    </row>
    <row r="43" spans="1:12" ht="10.5" customHeight="1">
      <c r="A43" s="297" t="s">
        <v>2290</v>
      </c>
      <c r="B43" s="297" t="s">
        <v>4040</v>
      </c>
      <c r="C43" s="297" t="s">
        <v>4040</v>
      </c>
      <c r="D43" s="297" t="s">
        <v>4876</v>
      </c>
      <c r="E43" s="297" t="s">
        <v>1230</v>
      </c>
      <c r="F43" s="297" t="s">
        <v>3060</v>
      </c>
      <c r="G43" s="297"/>
      <c r="H43" s="297" t="s">
        <v>4558</v>
      </c>
      <c r="I43" s="297" t="s">
        <v>3102</v>
      </c>
      <c r="J43" s="45" t="str">
        <f t="shared" si="0"/>
        <v>GoldDaejin Indus Co., Ltd.</v>
      </c>
      <c r="K43" s="45" t="str">
        <f t="shared" si="1"/>
        <v>GoldDaejin Indus Co., Ltd.</v>
      </c>
      <c r="L43" s="243"/>
    </row>
    <row r="44" spans="1:12" ht="10.5" customHeight="1">
      <c r="A44" s="297" t="s">
        <v>2290</v>
      </c>
      <c r="B44" s="297" t="s">
        <v>3103</v>
      </c>
      <c r="C44" s="297" t="s">
        <v>4040</v>
      </c>
      <c r="D44" s="297" t="s">
        <v>4876</v>
      </c>
      <c r="E44" s="297" t="s">
        <v>1230</v>
      </c>
      <c r="F44" s="297" t="s">
        <v>3060</v>
      </c>
      <c r="G44" s="297"/>
      <c r="H44" s="297" t="s">
        <v>4558</v>
      </c>
      <c r="I44" s="297" t="s">
        <v>3102</v>
      </c>
      <c r="J44" s="45" t="str">
        <f t="shared" si="0"/>
        <v>GoldDaejin Industry</v>
      </c>
      <c r="K44" s="45" t="str">
        <f t="shared" si="1"/>
        <v>GoldDaejin Industry</v>
      </c>
      <c r="L44" s="243"/>
    </row>
    <row r="45" spans="1:12" ht="10.5" customHeight="1">
      <c r="A45" s="297" t="s">
        <v>2290</v>
      </c>
      <c r="B45" s="297" t="s">
        <v>1231</v>
      </c>
      <c r="C45" s="297" t="s">
        <v>1231</v>
      </c>
      <c r="D45" s="297" t="s">
        <v>2150</v>
      </c>
      <c r="E45" s="297" t="s">
        <v>1232</v>
      </c>
      <c r="F45" s="297" t="s">
        <v>3060</v>
      </c>
      <c r="G45" s="297"/>
      <c r="H45" s="297" t="s">
        <v>3104</v>
      </c>
      <c r="I45" s="297" t="s">
        <v>3105</v>
      </c>
      <c r="J45" s="45" t="str">
        <f t="shared" si="0"/>
        <v>GoldDaye Non-Ferrous Metals Mining Ltd.</v>
      </c>
      <c r="K45" s="45" t="str">
        <f t="shared" si="1"/>
        <v>GoldDaye Non-Ferrous Metals Mining Ltd.</v>
      </c>
      <c r="L45" s="243"/>
    </row>
    <row r="46" spans="1:12" ht="10.5" customHeight="1">
      <c r="A46" s="297" t="s">
        <v>2290</v>
      </c>
      <c r="B46" s="297" t="s">
        <v>4896</v>
      </c>
      <c r="C46" s="297" t="s">
        <v>4896</v>
      </c>
      <c r="D46" s="297" t="s">
        <v>2164</v>
      </c>
      <c r="E46" s="297" t="s">
        <v>4897</v>
      </c>
      <c r="F46" s="297" t="s">
        <v>3060</v>
      </c>
      <c r="G46" s="297"/>
      <c r="H46" s="297" t="s">
        <v>3065</v>
      </c>
      <c r="I46" s="297" t="s">
        <v>3066</v>
      </c>
      <c r="J46" s="45" t="str">
        <f t="shared" si="0"/>
        <v>GoldDegussa Sonne / Mond Goldhandel GmbH</v>
      </c>
      <c r="K46" s="45" t="str">
        <f t="shared" si="1"/>
        <v>GoldDegussa Sonne / Mond Goldhandel GmbH</v>
      </c>
      <c r="L46" s="243"/>
    </row>
    <row r="47" spans="1:12" ht="10.5" customHeight="1">
      <c r="A47" s="297" t="s">
        <v>2290</v>
      </c>
      <c r="B47" s="297" t="s">
        <v>1154</v>
      </c>
      <c r="C47" s="297" t="s">
        <v>4225</v>
      </c>
      <c r="D47" s="297" t="s">
        <v>4876</v>
      </c>
      <c r="E47" s="297" t="s">
        <v>1233</v>
      </c>
      <c r="F47" s="297" t="s">
        <v>3060</v>
      </c>
      <c r="G47" s="297"/>
      <c r="H47" s="297" t="s">
        <v>3106</v>
      </c>
      <c r="I47" s="297" t="s">
        <v>3107</v>
      </c>
      <c r="J47" s="45" t="str">
        <f t="shared" si="0"/>
        <v>GoldDo Sung Corporation</v>
      </c>
      <c r="K47" s="45" t="str">
        <f t="shared" si="1"/>
        <v>GoldDo Sung Corporation</v>
      </c>
      <c r="L47" s="243"/>
    </row>
    <row r="48" spans="1:12" ht="10.5" customHeight="1">
      <c r="A48" s="297" t="s">
        <v>2290</v>
      </c>
      <c r="B48" s="297" t="s">
        <v>1234</v>
      </c>
      <c r="C48" s="297" t="s">
        <v>4177</v>
      </c>
      <c r="D48" s="297" t="s">
        <v>2164</v>
      </c>
      <c r="E48" s="297" t="s">
        <v>1235</v>
      </c>
      <c r="F48" s="297" t="s">
        <v>3060</v>
      </c>
      <c r="G48" s="297"/>
      <c r="H48" s="297" t="s">
        <v>3065</v>
      </c>
      <c r="I48" s="297" t="s">
        <v>3066</v>
      </c>
      <c r="J48" s="45" t="str">
        <f t="shared" si="0"/>
        <v>GoldDoduco</v>
      </c>
      <c r="K48" s="45" t="str">
        <f t="shared" si="1"/>
        <v>GoldDoduco</v>
      </c>
      <c r="L48" s="243"/>
    </row>
    <row r="49" spans="1:12" ht="10.5" customHeight="1">
      <c r="A49" s="297" t="s">
        <v>2290</v>
      </c>
      <c r="B49" s="297" t="s">
        <v>4177</v>
      </c>
      <c r="C49" s="297" t="s">
        <v>4177</v>
      </c>
      <c r="D49" s="297" t="s">
        <v>2164</v>
      </c>
      <c r="E49" s="297" t="s">
        <v>1235</v>
      </c>
      <c r="F49" s="297" t="s">
        <v>3060</v>
      </c>
      <c r="G49" s="297"/>
      <c r="H49" s="297" t="s">
        <v>3065</v>
      </c>
      <c r="I49" s="297" t="s">
        <v>3066</v>
      </c>
      <c r="J49" s="45" t="str">
        <f t="shared" si="0"/>
        <v>GoldDODUCO GmbH</v>
      </c>
      <c r="K49" s="45" t="str">
        <f t="shared" si="1"/>
        <v>GoldDODUCO GmbH</v>
      </c>
      <c r="L49" s="243"/>
    </row>
    <row r="50" spans="1:12" ht="10.5" customHeight="1">
      <c r="A50" s="297" t="s">
        <v>2290</v>
      </c>
      <c r="B50" s="297" t="s">
        <v>50</v>
      </c>
      <c r="C50" s="297" t="s">
        <v>4225</v>
      </c>
      <c r="D50" s="297" t="s">
        <v>4876</v>
      </c>
      <c r="E50" s="297" t="s">
        <v>1233</v>
      </c>
      <c r="F50" s="297" t="s">
        <v>3060</v>
      </c>
      <c r="G50" s="297"/>
      <c r="H50" s="297" t="s">
        <v>3106</v>
      </c>
      <c r="I50" s="297" t="s">
        <v>3107</v>
      </c>
      <c r="J50" s="45" t="str">
        <f t="shared" si="0"/>
        <v>GoldDosung metal</v>
      </c>
      <c r="K50" s="45" t="str">
        <f t="shared" si="1"/>
        <v>GoldDosung metal</v>
      </c>
      <c r="L50" s="243"/>
    </row>
    <row r="51" spans="1:12" ht="10.5" customHeight="1">
      <c r="A51" s="297" t="s">
        <v>2290</v>
      </c>
      <c r="B51" s="297" t="s">
        <v>1759</v>
      </c>
      <c r="C51" s="297" t="s">
        <v>1759</v>
      </c>
      <c r="D51" s="297" t="s">
        <v>2217</v>
      </c>
      <c r="E51" s="297" t="s">
        <v>1236</v>
      </c>
      <c r="F51" s="297" t="s">
        <v>3060</v>
      </c>
      <c r="G51" s="297"/>
      <c r="H51" s="297" t="s">
        <v>3108</v>
      </c>
      <c r="I51" s="297" t="s">
        <v>3109</v>
      </c>
      <c r="J51" s="45" t="str">
        <f t="shared" si="0"/>
        <v>GoldDowa</v>
      </c>
      <c r="K51" s="45" t="str">
        <f t="shared" si="1"/>
        <v>GoldDowa</v>
      </c>
      <c r="L51" s="243"/>
    </row>
    <row r="52" spans="1:12" ht="10.5" customHeight="1">
      <c r="A52" s="297" t="s">
        <v>2290</v>
      </c>
      <c r="B52" s="297" t="s">
        <v>3110</v>
      </c>
      <c r="C52" s="297" t="s">
        <v>1759</v>
      </c>
      <c r="D52" s="297" t="s">
        <v>2217</v>
      </c>
      <c r="E52" s="297" t="s">
        <v>1236</v>
      </c>
      <c r="F52" s="297" t="s">
        <v>3060</v>
      </c>
      <c r="G52" s="297"/>
      <c r="H52" s="297" t="s">
        <v>3108</v>
      </c>
      <c r="I52" s="297" t="s">
        <v>3109</v>
      </c>
      <c r="J52" s="45" t="str">
        <f t="shared" si="0"/>
        <v>GoldDowa Kogyo k.k.</v>
      </c>
      <c r="K52" s="45" t="str">
        <f t="shared" si="1"/>
        <v>GoldDowa Kogyo k.k.</v>
      </c>
      <c r="L52" s="243"/>
    </row>
    <row r="53" spans="1:12" ht="10.5" customHeight="1">
      <c r="A53" s="297" t="s">
        <v>2290</v>
      </c>
      <c r="B53" s="297" t="s">
        <v>3111</v>
      </c>
      <c r="C53" s="297" t="s">
        <v>1759</v>
      </c>
      <c r="D53" s="297" t="s">
        <v>2217</v>
      </c>
      <c r="E53" s="297" t="s">
        <v>1236</v>
      </c>
      <c r="F53" s="297" t="s">
        <v>3060</v>
      </c>
      <c r="G53" s="297"/>
      <c r="H53" s="297" t="s">
        <v>3108</v>
      </c>
      <c r="I53" s="297" t="s">
        <v>3109</v>
      </c>
      <c r="J53" s="45" t="str">
        <f t="shared" si="0"/>
        <v>GoldDowa Metalmine Co. Ltd</v>
      </c>
      <c r="K53" s="45" t="str">
        <f t="shared" si="1"/>
        <v>GoldDowa Metalmine Co. Ltd</v>
      </c>
      <c r="L53" s="243"/>
    </row>
    <row r="54" spans="1:12" ht="10.5" customHeight="1">
      <c r="A54" s="297" t="s">
        <v>2290</v>
      </c>
      <c r="B54" s="297" t="s">
        <v>3112</v>
      </c>
      <c r="C54" s="297" t="s">
        <v>1759</v>
      </c>
      <c r="D54" s="297" t="s">
        <v>2217</v>
      </c>
      <c r="E54" s="297" t="s">
        <v>1236</v>
      </c>
      <c r="F54" s="297" t="s">
        <v>3060</v>
      </c>
      <c r="G54" s="297"/>
      <c r="H54" s="297" t="s">
        <v>3108</v>
      </c>
      <c r="I54" s="297" t="s">
        <v>3109</v>
      </c>
      <c r="J54" s="45" t="str">
        <f t="shared" si="0"/>
        <v>GoldDowa Metals &amp; Mining Co. Ltd</v>
      </c>
      <c r="K54" s="45" t="str">
        <f t="shared" si="1"/>
        <v>GoldDowa Metals &amp; Mining Co. Ltd</v>
      </c>
      <c r="L54" s="243"/>
    </row>
    <row r="55" spans="1:12" ht="10.5" customHeight="1">
      <c r="A55" s="297" t="s">
        <v>2290</v>
      </c>
      <c r="B55" s="297" t="s">
        <v>4225</v>
      </c>
      <c r="C55" s="297" t="s">
        <v>4225</v>
      </c>
      <c r="D55" s="297" t="s">
        <v>4876</v>
      </c>
      <c r="E55" s="297" t="s">
        <v>1233</v>
      </c>
      <c r="F55" s="297" t="s">
        <v>3060</v>
      </c>
      <c r="G55" s="297"/>
      <c r="H55" s="297" t="s">
        <v>3106</v>
      </c>
      <c r="I55" s="297" t="s">
        <v>3107</v>
      </c>
      <c r="J55" s="45" t="str">
        <f t="shared" si="0"/>
        <v>GoldDSC (Do Sung Corporation)</v>
      </c>
      <c r="K55" s="45" t="str">
        <f t="shared" si="1"/>
        <v>GoldDSC (Do Sung Corporation)</v>
      </c>
      <c r="L55" s="243"/>
    </row>
    <row r="56" spans="1:12" ht="10.5" customHeight="1">
      <c r="A56" s="297" t="s">
        <v>2290</v>
      </c>
      <c r="B56" s="297" t="s">
        <v>714</v>
      </c>
      <c r="C56" s="297" t="s">
        <v>714</v>
      </c>
      <c r="D56" s="297" t="s">
        <v>2217</v>
      </c>
      <c r="E56" s="297" t="s">
        <v>715</v>
      </c>
      <c r="F56" s="297" t="s">
        <v>3060</v>
      </c>
      <c r="G56" s="297"/>
      <c r="H56" s="297" t="s">
        <v>3113</v>
      </c>
      <c r="I56" s="297" t="s">
        <v>3114</v>
      </c>
      <c r="J56" s="45" t="str">
        <f t="shared" si="0"/>
        <v>GoldEco-System Recycling Co., Ltd.</v>
      </c>
      <c r="K56" s="45" t="str">
        <f t="shared" si="1"/>
        <v>GoldEco-System Recycling Co., Ltd.</v>
      </c>
      <c r="L56" s="243"/>
    </row>
    <row r="57" spans="1:12" ht="10.5" customHeight="1">
      <c r="A57" s="297" t="s">
        <v>2290</v>
      </c>
      <c r="B57" s="297" t="s">
        <v>4153</v>
      </c>
      <c r="C57" s="297" t="s">
        <v>4153</v>
      </c>
      <c r="D57" s="297" t="s">
        <v>4880</v>
      </c>
      <c r="E57" s="297" t="s">
        <v>1279</v>
      </c>
      <c r="F57" s="297" t="s">
        <v>3060</v>
      </c>
      <c r="G57" s="297"/>
      <c r="H57" s="297" t="s">
        <v>3190</v>
      </c>
      <c r="I57" s="297" t="s">
        <v>3191</v>
      </c>
      <c r="J57" s="45" t="str">
        <f t="shared" si="0"/>
        <v>GoldElemetal Refining, LLC</v>
      </c>
      <c r="K57" s="45" t="str">
        <f t="shared" si="1"/>
        <v>GoldElemetal Refining, LLC</v>
      </c>
      <c r="L57" s="243"/>
    </row>
    <row r="58" spans="1:12" ht="10.5" customHeight="1">
      <c r="A58" s="297" t="s">
        <v>2290</v>
      </c>
      <c r="B58" s="297" t="s">
        <v>3289</v>
      </c>
      <c r="C58" s="297" t="s">
        <v>3289</v>
      </c>
      <c r="D58" s="297" t="s">
        <v>2117</v>
      </c>
      <c r="E58" s="297" t="s">
        <v>3290</v>
      </c>
      <c r="F58" s="297" t="s">
        <v>3060</v>
      </c>
      <c r="G58" s="297"/>
      <c r="H58" s="297" t="s">
        <v>3288</v>
      </c>
      <c r="I58" s="297" t="s">
        <v>3288</v>
      </c>
      <c r="J58" s="45" t="str">
        <f t="shared" si="0"/>
        <v>GoldEmirates Gold DMCC</v>
      </c>
      <c r="K58" s="45" t="str">
        <f t="shared" si="1"/>
        <v>GoldEmirates Gold DMCC</v>
      </c>
      <c r="L58" s="243"/>
    </row>
    <row r="59" spans="1:12" ht="10.5" customHeight="1">
      <c r="A59" s="297" t="s">
        <v>2290</v>
      </c>
      <c r="B59" s="297" t="s">
        <v>2638</v>
      </c>
      <c r="C59" s="297" t="s">
        <v>2638</v>
      </c>
      <c r="D59" s="297" t="s">
        <v>1746</v>
      </c>
      <c r="E59" s="297" t="s">
        <v>2639</v>
      </c>
      <c r="F59" s="297" t="s">
        <v>3060</v>
      </c>
      <c r="G59" s="297"/>
      <c r="H59" s="297" t="s">
        <v>3282</v>
      </c>
      <c r="I59" s="297" t="s">
        <v>3283</v>
      </c>
      <c r="J59" s="45" t="str">
        <f t="shared" si="0"/>
        <v>GoldFidelity Printers and Refiners Ltd.</v>
      </c>
      <c r="K59" s="45" t="str">
        <f t="shared" si="1"/>
        <v>GoldFidelity Printers and Refiners Ltd.</v>
      </c>
      <c r="L59" s="243"/>
    </row>
    <row r="60" spans="1:12" ht="10.5" customHeight="1">
      <c r="A60" s="297" t="s">
        <v>2290</v>
      </c>
      <c r="B60" s="297" t="s">
        <v>1760</v>
      </c>
      <c r="C60" s="297" t="s">
        <v>4150</v>
      </c>
      <c r="D60" s="297" t="s">
        <v>1690</v>
      </c>
      <c r="E60" s="297" t="s">
        <v>1237</v>
      </c>
      <c r="F60" s="297" t="s">
        <v>3060</v>
      </c>
      <c r="G60" s="297"/>
      <c r="H60" s="297" t="s">
        <v>3115</v>
      </c>
      <c r="I60" s="297" t="s">
        <v>4227</v>
      </c>
      <c r="J60" s="45" t="str">
        <f t="shared" si="0"/>
        <v>GoldFSE Novosibirsk Refinery</v>
      </c>
      <c r="K60" s="45" t="str">
        <f t="shared" si="1"/>
        <v>GoldFSE Novosibirsk Refinery</v>
      </c>
      <c r="L60" s="243"/>
    </row>
    <row r="61" spans="1:12" ht="10.5" customHeight="1">
      <c r="A61" s="297" t="s">
        <v>2290</v>
      </c>
      <c r="B61" s="297" t="s">
        <v>34</v>
      </c>
      <c r="C61" s="297" t="s">
        <v>4175</v>
      </c>
      <c r="D61" s="297" t="s">
        <v>2150</v>
      </c>
      <c r="E61" s="297" t="s">
        <v>1314</v>
      </c>
      <c r="F61" s="297" t="s">
        <v>3060</v>
      </c>
      <c r="G61" s="297"/>
      <c r="H61" s="297" t="s">
        <v>3266</v>
      </c>
      <c r="I61" s="297" t="s">
        <v>3267</v>
      </c>
      <c r="J61" s="45" t="str">
        <f t="shared" si="0"/>
        <v>GoldFujian Zijin mining stock company gold smelter</v>
      </c>
      <c r="K61" s="45" t="str">
        <f t="shared" si="1"/>
        <v>GoldFujian Zijin mining stock company gold smelter</v>
      </c>
      <c r="L61" s="243"/>
    </row>
    <row r="62" spans="1:12" ht="10.5" customHeight="1">
      <c r="A62" s="297" t="s">
        <v>2290</v>
      </c>
      <c r="B62" s="297" t="s">
        <v>4041</v>
      </c>
      <c r="C62" s="297" t="s">
        <v>4041</v>
      </c>
      <c r="D62" s="297" t="s">
        <v>2150</v>
      </c>
      <c r="E62" s="297" t="s">
        <v>1238</v>
      </c>
      <c r="F62" s="297" t="s">
        <v>3060</v>
      </c>
      <c r="G62" s="297"/>
      <c r="H62" s="297" t="s">
        <v>3116</v>
      </c>
      <c r="I62" s="297" t="s">
        <v>3117</v>
      </c>
      <c r="J62" s="45" t="str">
        <f t="shared" si="0"/>
        <v>GoldGansu Seemine Material Hi-Tech Co., Ltd.</v>
      </c>
      <c r="K62" s="45" t="str">
        <f t="shared" si="1"/>
        <v>GoldGansu Seemine Material Hi-Tech Co., Ltd.</v>
      </c>
      <c r="L62" s="243"/>
    </row>
    <row r="63" spans="1:12" ht="10.5" customHeight="1">
      <c r="A63" s="297" t="s">
        <v>2290</v>
      </c>
      <c r="B63" s="297" t="s">
        <v>3274</v>
      </c>
      <c r="C63" s="297" t="s">
        <v>3274</v>
      </c>
      <c r="D63" s="297" t="s">
        <v>4880</v>
      </c>
      <c r="E63" s="297" t="s">
        <v>3275</v>
      </c>
      <c r="F63" s="297" t="s">
        <v>3060</v>
      </c>
      <c r="G63" s="297"/>
      <c r="H63" s="297" t="s">
        <v>3061</v>
      </c>
      <c r="I63" s="297" t="s">
        <v>3062</v>
      </c>
      <c r="J63" s="45" t="str">
        <f t="shared" si="0"/>
        <v>GoldGeib Refining Corporation</v>
      </c>
      <c r="K63" s="45" t="str">
        <f t="shared" si="1"/>
        <v>GoldGeib Refining Corporation</v>
      </c>
      <c r="L63" s="243"/>
    </row>
    <row r="64" spans="1:12" ht="10.5" customHeight="1">
      <c r="A64" s="297" t="s">
        <v>2290</v>
      </c>
      <c r="B64" s="297" t="s">
        <v>35</v>
      </c>
      <c r="C64" s="297" t="s">
        <v>4063</v>
      </c>
      <c r="D64" s="297" t="s">
        <v>2150</v>
      </c>
      <c r="E64" s="297" t="s">
        <v>1301</v>
      </c>
      <c r="F64" s="297" t="s">
        <v>3060</v>
      </c>
      <c r="G64" s="297"/>
      <c r="H64" s="297" t="s">
        <v>3221</v>
      </c>
      <c r="I64" s="297" t="s">
        <v>3199</v>
      </c>
      <c r="J64" s="45" t="str">
        <f t="shared" si="0"/>
        <v>GoldGold Mining in Shandong (Laizhou) Limited Company</v>
      </c>
      <c r="K64" s="45" t="str">
        <f t="shared" si="1"/>
        <v>GoldGold Mining in Shandong (Laizhou) Limited Company</v>
      </c>
      <c r="L64" s="243"/>
    </row>
    <row r="65" spans="1:12" ht="10.5" customHeight="1">
      <c r="A65" s="297" t="s">
        <v>2290</v>
      </c>
      <c r="B65" s="297" t="s">
        <v>3238</v>
      </c>
      <c r="C65" s="297" t="s">
        <v>4178</v>
      </c>
      <c r="D65" s="297" t="s">
        <v>2150</v>
      </c>
      <c r="E65" s="297" t="s">
        <v>1300</v>
      </c>
      <c r="F65" s="297" t="s">
        <v>3060</v>
      </c>
      <c r="G65" s="297"/>
      <c r="H65" s="297" t="s">
        <v>3225</v>
      </c>
      <c r="I65" s="297" t="s">
        <v>3226</v>
      </c>
      <c r="J65" s="45" t="str">
        <f t="shared" si="0"/>
        <v>GoldGreat Wall Precious Metals Co,. LTD.</v>
      </c>
      <c r="K65" s="45" t="str">
        <f t="shared" si="1"/>
        <v>GoldGreat Wall Precious Metals Co,. LTD.</v>
      </c>
      <c r="L65" s="243"/>
    </row>
    <row r="66" spans="1:12" ht="10.5" customHeight="1">
      <c r="A66" s="297" t="s">
        <v>2290</v>
      </c>
      <c r="B66" s="297" t="s">
        <v>4178</v>
      </c>
      <c r="C66" s="297" t="s">
        <v>4178</v>
      </c>
      <c r="D66" s="297" t="s">
        <v>2150</v>
      </c>
      <c r="E66" s="297" t="s">
        <v>1300</v>
      </c>
      <c r="F66" s="297" t="s">
        <v>3060</v>
      </c>
      <c r="G66" s="297"/>
      <c r="H66" s="297" t="s">
        <v>3225</v>
      </c>
      <c r="I66" s="297" t="s">
        <v>3226</v>
      </c>
      <c r="J66" s="45" t="str">
        <f t="shared" si="0"/>
        <v>GoldGreat Wall Precious Metals Co., Ltd. of CBPM</v>
      </c>
      <c r="K66" s="45" t="str">
        <f t="shared" si="1"/>
        <v>GoldGreat Wall Precious Metals Co., Ltd. of CBPM</v>
      </c>
      <c r="L66" s="243"/>
    </row>
    <row r="67" spans="1:12" ht="10.5" customHeight="1">
      <c r="A67" s="297" t="s">
        <v>2290</v>
      </c>
      <c r="B67" s="297" t="s">
        <v>3271</v>
      </c>
      <c r="C67" s="297" t="s">
        <v>1239</v>
      </c>
      <c r="D67" s="297" t="s">
        <v>2150</v>
      </c>
      <c r="E67" s="297" t="s">
        <v>1240</v>
      </c>
      <c r="F67" s="297" t="s">
        <v>3060</v>
      </c>
      <c r="G67" s="297"/>
      <c r="H67" s="297" t="s">
        <v>3269</v>
      </c>
      <c r="I67" s="297" t="s">
        <v>3270</v>
      </c>
      <c r="J67" s="45" t="str">
        <f t="shared" si="0"/>
        <v>GoldGuangdong Gaoyao Co</v>
      </c>
      <c r="K67" s="45" t="str">
        <f t="shared" si="1"/>
        <v>GoldGuangdong Gaoyao Co</v>
      </c>
      <c r="L67" s="243"/>
    </row>
    <row r="68" spans="1:12" ht="10.5" customHeight="1">
      <c r="A68" s="297" t="s">
        <v>2290</v>
      </c>
      <c r="B68" s="297" t="s">
        <v>1239</v>
      </c>
      <c r="C68" s="297" t="s">
        <v>1239</v>
      </c>
      <c r="D68" s="297" t="s">
        <v>2150</v>
      </c>
      <c r="E68" s="297" t="s">
        <v>1240</v>
      </c>
      <c r="F68" s="297" t="s">
        <v>3060</v>
      </c>
      <c r="G68" s="297"/>
      <c r="H68" s="297" t="s">
        <v>3269</v>
      </c>
      <c r="I68" s="297" t="s">
        <v>3270</v>
      </c>
      <c r="J68" s="45" t="str">
        <f t="shared" ref="J68:J131" si="2">A68&amp;B68</f>
        <v>GoldGuangdong Jinding Gold Limited</v>
      </c>
      <c r="K68" s="45" t="str">
        <f t="shared" ref="K68:K131" si="3">A68&amp;B68</f>
        <v>GoldGuangdong Jinding Gold Limited</v>
      </c>
      <c r="L68" s="243"/>
    </row>
    <row r="69" spans="1:12" ht="10.5" customHeight="1">
      <c r="A69" s="297" t="s">
        <v>2290</v>
      </c>
      <c r="B69" s="297" t="s">
        <v>4559</v>
      </c>
      <c r="C69" s="297" t="s">
        <v>4559</v>
      </c>
      <c r="D69" s="297" t="s">
        <v>2207</v>
      </c>
      <c r="E69" s="297" t="s">
        <v>4560</v>
      </c>
      <c r="F69" s="297" t="s">
        <v>3060</v>
      </c>
      <c r="G69" s="297"/>
      <c r="H69" s="297" t="s">
        <v>4561</v>
      </c>
      <c r="I69" s="297" t="s">
        <v>4562</v>
      </c>
      <c r="J69" s="45" t="str">
        <f t="shared" si="2"/>
        <v>GoldGujarat Gold Centre</v>
      </c>
      <c r="K69" s="45" t="str">
        <f t="shared" si="3"/>
        <v>GoldGujarat Gold Centre</v>
      </c>
      <c r="L69" s="243"/>
    </row>
    <row r="70" spans="1:12" ht="10.5" customHeight="1">
      <c r="A70" s="297" t="s">
        <v>2290</v>
      </c>
      <c r="B70" s="297" t="s">
        <v>3118</v>
      </c>
      <c r="C70" s="297" t="s">
        <v>3118</v>
      </c>
      <c r="D70" s="297" t="s">
        <v>2150</v>
      </c>
      <c r="E70" s="297" t="s">
        <v>3119</v>
      </c>
      <c r="F70" s="297" t="s">
        <v>3060</v>
      </c>
      <c r="G70" s="297"/>
      <c r="H70" s="297" t="s">
        <v>3120</v>
      </c>
      <c r="I70" s="297" t="s">
        <v>3199</v>
      </c>
      <c r="J70" s="45" t="str">
        <f t="shared" si="2"/>
        <v>GoldGuoda Safina High-Tech Environmental Refinery Co., Ltd.</v>
      </c>
      <c r="K70" s="45" t="str">
        <f t="shared" si="3"/>
        <v>GoldGuoda Safina High-Tech Environmental Refinery Co., Ltd.</v>
      </c>
      <c r="L70" s="243"/>
    </row>
    <row r="71" spans="1:12" ht="10.5" customHeight="1">
      <c r="A71" s="297" t="s">
        <v>2290</v>
      </c>
      <c r="B71" s="297" t="s">
        <v>711</v>
      </c>
      <c r="C71" s="297" t="s">
        <v>711</v>
      </c>
      <c r="D71" s="297" t="s">
        <v>2150</v>
      </c>
      <c r="E71" s="297" t="s">
        <v>712</v>
      </c>
      <c r="F71" s="297" t="s">
        <v>3060</v>
      </c>
      <c r="G71" s="297"/>
      <c r="H71" s="297" t="s">
        <v>3123</v>
      </c>
      <c r="I71" s="297" t="s">
        <v>3124</v>
      </c>
      <c r="J71" s="45" t="str">
        <f t="shared" si="2"/>
        <v>GoldHangzhou Fuchunjiang Smelting Co., Ltd.</v>
      </c>
      <c r="K71" s="45" t="str">
        <f t="shared" si="3"/>
        <v>GoldHangzhou Fuchunjiang Smelting Co., Ltd.</v>
      </c>
      <c r="L71" s="243"/>
    </row>
    <row r="72" spans="1:12" ht="10.5" customHeight="1">
      <c r="A72" s="297" t="s">
        <v>2290</v>
      </c>
      <c r="B72" s="297" t="s">
        <v>1930</v>
      </c>
      <c r="C72" s="297" t="s">
        <v>1930</v>
      </c>
      <c r="D72" s="297" t="s">
        <v>2164</v>
      </c>
      <c r="E72" s="297" t="s">
        <v>1241</v>
      </c>
      <c r="F72" s="297" t="s">
        <v>3060</v>
      </c>
      <c r="G72" s="297"/>
      <c r="H72" s="297" t="s">
        <v>3065</v>
      </c>
      <c r="I72" s="297" t="s">
        <v>3066</v>
      </c>
      <c r="J72" s="45" t="str">
        <f t="shared" si="2"/>
        <v>GoldHeimerle + Meule GmbH</v>
      </c>
      <c r="K72" s="45" t="str">
        <f t="shared" si="3"/>
        <v>GoldHeimerle + Meule GmbH</v>
      </c>
      <c r="L72" s="243"/>
    </row>
    <row r="73" spans="1:12" ht="10.5" customHeight="1">
      <c r="A73" s="297" t="s">
        <v>2290</v>
      </c>
      <c r="B73" s="297" t="s">
        <v>3262</v>
      </c>
      <c r="C73" s="297" t="s">
        <v>2540</v>
      </c>
      <c r="D73" s="297" t="s">
        <v>2150</v>
      </c>
      <c r="E73" s="297" t="s">
        <v>1313</v>
      </c>
      <c r="F73" s="297" t="s">
        <v>3060</v>
      </c>
      <c r="G73" s="297"/>
      <c r="H73" s="297" t="s">
        <v>3261</v>
      </c>
      <c r="I73" s="297" t="s">
        <v>3159</v>
      </c>
      <c r="J73" s="45" t="str">
        <f t="shared" si="2"/>
        <v>GoldHenan Zhongyuan Gold Refinery Co., Ltd.</v>
      </c>
      <c r="K73" s="45" t="str">
        <f t="shared" si="3"/>
        <v>GoldHenan Zhongyuan Gold Refinery Co., Ltd.</v>
      </c>
      <c r="L73" s="243"/>
    </row>
    <row r="74" spans="1:12" ht="10.5" customHeight="1">
      <c r="A74" s="297" t="s">
        <v>2290</v>
      </c>
      <c r="B74" s="297" t="s">
        <v>3265</v>
      </c>
      <c r="C74" s="297" t="s">
        <v>2540</v>
      </c>
      <c r="D74" s="297" t="s">
        <v>2150</v>
      </c>
      <c r="E74" s="297" t="s">
        <v>1313</v>
      </c>
      <c r="F74" s="297" t="s">
        <v>3060</v>
      </c>
      <c r="G74" s="297"/>
      <c r="H74" s="297" t="s">
        <v>3261</v>
      </c>
      <c r="I74" s="297" t="s">
        <v>3159</v>
      </c>
      <c r="J74" s="45" t="str">
        <f t="shared" si="2"/>
        <v>GoldHenan Zhongyuan Gold Smelter of Zhongjin Gold Co. Ltd.</v>
      </c>
      <c r="K74" s="45" t="str">
        <f t="shared" si="3"/>
        <v>GoldHenan Zhongyuan Gold Smelter of Zhongjin Gold Co. Ltd.</v>
      </c>
      <c r="L74" s="243"/>
    </row>
    <row r="75" spans="1:12" ht="10.5" customHeight="1">
      <c r="A75" s="297" t="s">
        <v>2290</v>
      </c>
      <c r="B75" s="297" t="s">
        <v>36</v>
      </c>
      <c r="C75" s="297" t="s">
        <v>2540</v>
      </c>
      <c r="D75" s="297" t="s">
        <v>2150</v>
      </c>
      <c r="E75" s="297" t="s">
        <v>1313</v>
      </c>
      <c r="F75" s="297" t="s">
        <v>3060</v>
      </c>
      <c r="G75" s="297"/>
      <c r="H75" s="297" t="s">
        <v>3261</v>
      </c>
      <c r="I75" s="297" t="s">
        <v>3159</v>
      </c>
      <c r="J75" s="45" t="str">
        <f t="shared" si="2"/>
        <v>GoldHenan Zhongyuan Gold Smelter of Zhongjin Gold Corporation Limited</v>
      </c>
      <c r="K75" s="45" t="str">
        <f t="shared" si="3"/>
        <v>GoldHenan Zhongyuan Gold Smelter of Zhongjin Gold Corporation Limited</v>
      </c>
      <c r="L75" s="243"/>
    </row>
    <row r="76" spans="1:12" ht="10.5" customHeight="1">
      <c r="A76" s="297" t="s">
        <v>2290</v>
      </c>
      <c r="B76" s="297" t="s">
        <v>71</v>
      </c>
      <c r="C76" s="297" t="s">
        <v>71</v>
      </c>
      <c r="D76" s="297" t="s">
        <v>2150</v>
      </c>
      <c r="E76" s="297" t="s">
        <v>1242</v>
      </c>
      <c r="F76" s="297" t="s">
        <v>3060</v>
      </c>
      <c r="G76" s="297"/>
      <c r="H76" s="297" t="s">
        <v>3125</v>
      </c>
      <c r="I76" s="297" t="s">
        <v>3126</v>
      </c>
      <c r="J76" s="45" t="str">
        <f t="shared" si="2"/>
        <v>GoldHeraeus Ltd. Hong Kong</v>
      </c>
      <c r="K76" s="45" t="str">
        <f t="shared" si="3"/>
        <v>GoldHeraeus Ltd. Hong Kong</v>
      </c>
      <c r="L76" s="243"/>
    </row>
    <row r="77" spans="1:12" ht="10.5" customHeight="1">
      <c r="A77" s="297" t="s">
        <v>2290</v>
      </c>
      <c r="B77" s="297" t="s">
        <v>2418</v>
      </c>
      <c r="C77" s="297" t="s">
        <v>2418</v>
      </c>
      <c r="D77" s="297" t="s">
        <v>2164</v>
      </c>
      <c r="E77" s="297" t="s">
        <v>1243</v>
      </c>
      <c r="F77" s="297" t="s">
        <v>3060</v>
      </c>
      <c r="G77" s="297"/>
      <c r="H77" s="297" t="s">
        <v>3127</v>
      </c>
      <c r="I77" s="297" t="s">
        <v>3128</v>
      </c>
      <c r="J77" s="45" t="str">
        <f t="shared" si="2"/>
        <v>GoldHeraeus Precious Metals GmbH &amp; Co. KG</v>
      </c>
      <c r="K77" s="45" t="str">
        <f t="shared" si="3"/>
        <v>GoldHeraeus Precious Metals GmbH &amp; Co. KG</v>
      </c>
      <c r="L77" s="243"/>
    </row>
    <row r="78" spans="1:12" ht="10.5" customHeight="1">
      <c r="A78" s="297" t="s">
        <v>2290</v>
      </c>
      <c r="B78" s="297" t="s">
        <v>4171</v>
      </c>
      <c r="C78" s="297" t="s">
        <v>4171</v>
      </c>
      <c r="D78" s="297" t="s">
        <v>2150</v>
      </c>
      <c r="E78" s="297" t="s">
        <v>1244</v>
      </c>
      <c r="F78" s="297" t="s">
        <v>3060</v>
      </c>
      <c r="G78" s="297"/>
      <c r="H78" s="297" t="s">
        <v>4027</v>
      </c>
      <c r="I78" s="297" t="s">
        <v>3121</v>
      </c>
      <c r="J78" s="45" t="str">
        <f t="shared" si="2"/>
        <v>GoldHunan Chenzhou Mining Co., Ltd.</v>
      </c>
      <c r="K78" s="45" t="str">
        <f t="shared" si="3"/>
        <v>GoldHunan Chenzhou Mining Co., Ltd.</v>
      </c>
      <c r="L78" s="243"/>
    </row>
    <row r="79" spans="1:12" ht="10.5" customHeight="1">
      <c r="A79" s="297" t="s">
        <v>2290</v>
      </c>
      <c r="B79" s="297" t="s">
        <v>2621</v>
      </c>
      <c r="C79" s="297" t="s">
        <v>4171</v>
      </c>
      <c r="D79" s="297" t="s">
        <v>2150</v>
      </c>
      <c r="E79" s="297" t="s">
        <v>1244</v>
      </c>
      <c r="F79" s="297" t="s">
        <v>3060</v>
      </c>
      <c r="G79" s="297"/>
      <c r="H79" s="297" t="s">
        <v>4027</v>
      </c>
      <c r="I79" s="297" t="s">
        <v>3121</v>
      </c>
      <c r="J79" s="45" t="str">
        <f t="shared" si="2"/>
        <v>GoldHunan Chenzhou Mining Group Co., Ltd.</v>
      </c>
      <c r="K79" s="45" t="str">
        <f t="shared" si="3"/>
        <v>GoldHunan Chenzhou Mining Group Co., Ltd.</v>
      </c>
      <c r="L79" s="243"/>
    </row>
    <row r="80" spans="1:12" ht="10.5" customHeight="1">
      <c r="A80" s="297" t="s">
        <v>2290</v>
      </c>
      <c r="B80" s="297" t="s">
        <v>3130</v>
      </c>
      <c r="C80" s="297" t="s">
        <v>4171</v>
      </c>
      <c r="D80" s="297" t="s">
        <v>2150</v>
      </c>
      <c r="E80" s="297" t="s">
        <v>1244</v>
      </c>
      <c r="F80" s="297" t="s">
        <v>3060</v>
      </c>
      <c r="G80" s="297"/>
      <c r="H80" s="297" t="s">
        <v>4027</v>
      </c>
      <c r="I80" s="297" t="s">
        <v>3121</v>
      </c>
      <c r="J80" s="45" t="str">
        <f t="shared" si="2"/>
        <v>GoldHunan Chenzhou Mining Industry Co. Ltd.</v>
      </c>
      <c r="K80" s="45" t="str">
        <f t="shared" si="3"/>
        <v>GoldHunan Chenzhou Mining Industry Co. Ltd.</v>
      </c>
      <c r="L80" s="243"/>
    </row>
    <row r="81" spans="1:12" ht="10.5" customHeight="1">
      <c r="A81" s="297" t="s">
        <v>2290</v>
      </c>
      <c r="B81" s="297" t="s">
        <v>4989</v>
      </c>
      <c r="C81" s="297" t="s">
        <v>4989</v>
      </c>
      <c r="D81" s="297" t="s">
        <v>4876</v>
      </c>
      <c r="E81" s="297" t="s">
        <v>1245</v>
      </c>
      <c r="F81" s="297" t="s">
        <v>3060</v>
      </c>
      <c r="G81" s="297"/>
      <c r="H81" s="297" t="s">
        <v>3131</v>
      </c>
      <c r="I81" s="297" t="s">
        <v>3107</v>
      </c>
      <c r="J81" s="45" t="str">
        <f t="shared" si="2"/>
        <v>GoldHwaSeong CJ Co., Ltd.</v>
      </c>
      <c r="K81" s="45" t="str">
        <f t="shared" si="3"/>
        <v>GoldHwaSeong CJ Co., Ltd.</v>
      </c>
      <c r="L81" s="243"/>
    </row>
    <row r="82" spans="1:12" ht="10.5" customHeight="1">
      <c r="A82" s="297" t="s">
        <v>2290</v>
      </c>
      <c r="B82" s="297" t="s">
        <v>4563</v>
      </c>
      <c r="C82" s="297" t="s">
        <v>4563</v>
      </c>
      <c r="D82" s="297" t="s">
        <v>2150</v>
      </c>
      <c r="E82" s="297" t="s">
        <v>1246</v>
      </c>
      <c r="F82" s="297" t="s">
        <v>3060</v>
      </c>
      <c r="G82" s="297"/>
      <c r="H82" s="297" t="s">
        <v>3132</v>
      </c>
      <c r="I82" s="297" t="s">
        <v>3133</v>
      </c>
      <c r="J82" s="45" t="str">
        <f t="shared" si="2"/>
        <v>GoldInner Mongolia Qiankun Gold and Silver Refinery Share Co., Ltd.</v>
      </c>
      <c r="K82" s="45" t="str">
        <f t="shared" si="3"/>
        <v>GoldInner Mongolia Qiankun Gold and Silver Refinery Share Co., Ltd.</v>
      </c>
      <c r="L82" s="243"/>
    </row>
    <row r="83" spans="1:12" ht="10.5" customHeight="1">
      <c r="A83" s="297" t="s">
        <v>2290</v>
      </c>
      <c r="B83" s="297" t="s">
        <v>2419</v>
      </c>
      <c r="C83" s="297" t="s">
        <v>2419</v>
      </c>
      <c r="D83" s="297" t="s">
        <v>2217</v>
      </c>
      <c r="E83" s="297" t="s">
        <v>1247</v>
      </c>
      <c r="F83" s="297" t="s">
        <v>3060</v>
      </c>
      <c r="G83" s="297"/>
      <c r="H83" s="297" t="s">
        <v>3134</v>
      </c>
      <c r="I83" s="297" t="s">
        <v>3114</v>
      </c>
      <c r="J83" s="45" t="str">
        <f t="shared" si="2"/>
        <v>GoldIshifuku Metal Industry Co., Ltd.</v>
      </c>
      <c r="K83" s="45" t="str">
        <f t="shared" si="3"/>
        <v>GoldIshifuku Metal Industry Co., Ltd.</v>
      </c>
      <c r="L83" s="243"/>
    </row>
    <row r="84" spans="1:12" ht="10.5" customHeight="1">
      <c r="A84" s="297" t="s">
        <v>2290</v>
      </c>
      <c r="B84" s="297" t="s">
        <v>2426</v>
      </c>
      <c r="C84" s="297" t="s">
        <v>2426</v>
      </c>
      <c r="D84" s="297" t="s">
        <v>1724</v>
      </c>
      <c r="E84" s="297" t="s">
        <v>1248</v>
      </c>
      <c r="F84" s="297" t="s">
        <v>3060</v>
      </c>
      <c r="G84" s="297"/>
      <c r="H84" s="297" t="s">
        <v>3135</v>
      </c>
      <c r="I84" s="297" t="s">
        <v>3079</v>
      </c>
      <c r="J84" s="45" t="str">
        <f t="shared" si="2"/>
        <v>GoldIstanbul Gold Refinery</v>
      </c>
      <c r="K84" s="45" t="str">
        <f t="shared" si="3"/>
        <v>GoldIstanbul Gold Refinery</v>
      </c>
      <c r="L84" s="243"/>
    </row>
    <row r="85" spans="1:12" ht="10.5" customHeight="1">
      <c r="A85" s="297" t="s">
        <v>2290</v>
      </c>
      <c r="B85" s="297" t="s">
        <v>1761</v>
      </c>
      <c r="C85" s="297" t="s">
        <v>1761</v>
      </c>
      <c r="D85" s="297" t="s">
        <v>2217</v>
      </c>
      <c r="E85" s="297" t="s">
        <v>1249</v>
      </c>
      <c r="F85" s="297" t="s">
        <v>3060</v>
      </c>
      <c r="G85" s="297"/>
      <c r="H85" s="297" t="s">
        <v>3136</v>
      </c>
      <c r="I85" s="297" t="s">
        <v>3137</v>
      </c>
      <c r="J85" s="45" t="str">
        <f t="shared" si="2"/>
        <v>GoldJapan Mint</v>
      </c>
      <c r="K85" s="45" t="str">
        <f t="shared" si="3"/>
        <v>GoldJapan Mint</v>
      </c>
      <c r="L85" s="243"/>
    </row>
    <row r="86" spans="1:12" ht="10.5" customHeight="1">
      <c r="A86" s="297" t="s">
        <v>2290</v>
      </c>
      <c r="B86" s="297" t="s">
        <v>3140</v>
      </c>
      <c r="C86" s="297" t="s">
        <v>4564</v>
      </c>
      <c r="D86" s="297" t="s">
        <v>2150</v>
      </c>
      <c r="E86" s="297" t="s">
        <v>1250</v>
      </c>
      <c r="F86" s="297" t="s">
        <v>3060</v>
      </c>
      <c r="G86" s="297"/>
      <c r="H86" s="297" t="s">
        <v>3138</v>
      </c>
      <c r="I86" s="297" t="s">
        <v>3139</v>
      </c>
      <c r="J86" s="45" t="str">
        <f t="shared" si="2"/>
        <v>GoldJCC</v>
      </c>
      <c r="K86" s="45" t="str">
        <f t="shared" si="3"/>
        <v>GoldJCC</v>
      </c>
      <c r="L86" s="243"/>
    </row>
    <row r="87" spans="1:12" ht="10.5" customHeight="1">
      <c r="A87" s="297" t="s">
        <v>2290</v>
      </c>
      <c r="B87" s="297" t="s">
        <v>4564</v>
      </c>
      <c r="C87" s="297" t="s">
        <v>4564</v>
      </c>
      <c r="D87" s="297" t="s">
        <v>2150</v>
      </c>
      <c r="E87" s="297" t="s">
        <v>1250</v>
      </c>
      <c r="F87" s="297" t="s">
        <v>3060</v>
      </c>
      <c r="G87" s="297"/>
      <c r="H87" s="297" t="s">
        <v>3138</v>
      </c>
      <c r="I87" s="297" t="s">
        <v>3139</v>
      </c>
      <c r="J87" s="45" t="str">
        <f t="shared" si="2"/>
        <v>GoldJiangxi Copper Co., Ltd.</v>
      </c>
      <c r="K87" s="45" t="str">
        <f t="shared" si="3"/>
        <v>GoldJiangxi Copper Co., Ltd.</v>
      </c>
      <c r="L87" s="243"/>
    </row>
    <row r="88" spans="1:12" ht="10.5" customHeight="1">
      <c r="A88" s="297" t="s">
        <v>2290</v>
      </c>
      <c r="B88" s="297" t="s">
        <v>1904</v>
      </c>
      <c r="C88" s="297" t="s">
        <v>4546</v>
      </c>
      <c r="D88" s="297" t="s">
        <v>2146</v>
      </c>
      <c r="E88" s="297" t="s">
        <v>1252</v>
      </c>
      <c r="F88" s="297" t="s">
        <v>3060</v>
      </c>
      <c r="G88" s="297"/>
      <c r="H88" s="297" t="s">
        <v>3144</v>
      </c>
      <c r="I88" s="297" t="s">
        <v>3145</v>
      </c>
      <c r="J88" s="45" t="str">
        <f t="shared" si="2"/>
        <v>GoldJohnson Matthey Canada</v>
      </c>
      <c r="K88" s="45" t="str">
        <f t="shared" si="3"/>
        <v>GoldJohnson Matthey Canada</v>
      </c>
      <c r="L88" s="243"/>
    </row>
    <row r="89" spans="1:12" ht="10.5" customHeight="1">
      <c r="A89" s="297" t="s">
        <v>2290</v>
      </c>
      <c r="B89" s="297" t="s">
        <v>4044</v>
      </c>
      <c r="C89" s="297" t="s">
        <v>4152</v>
      </c>
      <c r="D89" s="297" t="s">
        <v>4880</v>
      </c>
      <c r="E89" s="297" t="s">
        <v>1251</v>
      </c>
      <c r="F89" s="297" t="s">
        <v>3060</v>
      </c>
      <c r="G89" s="297"/>
      <c r="H89" s="297" t="s">
        <v>3141</v>
      </c>
      <c r="I89" s="297" t="s">
        <v>3142</v>
      </c>
      <c r="J89" s="45" t="str">
        <f t="shared" si="2"/>
        <v>GoldJohnson Matthey Inc.</v>
      </c>
      <c r="K89" s="45" t="str">
        <f t="shared" si="3"/>
        <v>GoldJohnson Matthey Inc.</v>
      </c>
      <c r="L89" s="243"/>
    </row>
    <row r="90" spans="1:12">
      <c r="A90" s="297" t="s">
        <v>2290</v>
      </c>
      <c r="B90" s="297" t="s">
        <v>3143</v>
      </c>
      <c r="C90" s="297" t="s">
        <v>4152</v>
      </c>
      <c r="D90" s="297" t="s">
        <v>4880</v>
      </c>
      <c r="E90" s="297" t="s">
        <v>1251</v>
      </c>
      <c r="F90" s="297" t="s">
        <v>3060</v>
      </c>
      <c r="G90" s="297"/>
      <c r="H90" s="297" t="s">
        <v>3141</v>
      </c>
      <c r="I90" s="297" t="s">
        <v>3142</v>
      </c>
      <c r="J90" s="45" t="str">
        <f t="shared" si="2"/>
        <v>GoldJohnson Matthey Inc. (USA)</v>
      </c>
      <c r="K90" s="45" t="str">
        <f t="shared" si="3"/>
        <v>GoldJohnson Matthey Inc. (USA)</v>
      </c>
      <c r="L90" s="243"/>
    </row>
    <row r="91" spans="1:12" ht="10.5" customHeight="1">
      <c r="A91" s="297" t="s">
        <v>2290</v>
      </c>
      <c r="B91" s="297" t="s">
        <v>4045</v>
      </c>
      <c r="C91" s="297" t="s">
        <v>4546</v>
      </c>
      <c r="D91" s="297" t="s">
        <v>2146</v>
      </c>
      <c r="E91" s="297" t="s">
        <v>1252</v>
      </c>
      <c r="F91" s="297" t="s">
        <v>3060</v>
      </c>
      <c r="G91" s="297"/>
      <c r="H91" s="297" t="s">
        <v>3144</v>
      </c>
      <c r="I91" s="297" t="s">
        <v>3145</v>
      </c>
      <c r="J91" s="45" t="str">
        <f t="shared" si="2"/>
        <v>GoldJohnson Matthey Limited</v>
      </c>
      <c r="K91" s="45" t="str">
        <f t="shared" si="3"/>
        <v>GoldJohnson Matthey Limited</v>
      </c>
      <c r="L91" s="243"/>
    </row>
    <row r="92" spans="1:12" ht="10.5" customHeight="1">
      <c r="A92" s="297" t="s">
        <v>2290</v>
      </c>
      <c r="B92" s="297" t="s">
        <v>1762</v>
      </c>
      <c r="C92" s="297" t="s">
        <v>1762</v>
      </c>
      <c r="D92" s="297" t="s">
        <v>1690</v>
      </c>
      <c r="E92" s="297" t="s">
        <v>1253</v>
      </c>
      <c r="F92" s="297" t="s">
        <v>3060</v>
      </c>
      <c r="G92" s="297"/>
      <c r="H92" s="297" t="s">
        <v>3146</v>
      </c>
      <c r="I92" s="297" t="s">
        <v>3147</v>
      </c>
      <c r="J92" s="45" t="str">
        <f t="shared" si="2"/>
        <v>GoldJSC Ekaterinburg Non-Ferrous Metal Processing Plant</v>
      </c>
      <c r="K92" s="45" t="str">
        <f t="shared" si="3"/>
        <v>GoldJSC Ekaterinburg Non-Ferrous Metal Processing Plant</v>
      </c>
      <c r="L92" s="243"/>
    </row>
    <row r="93" spans="1:12" ht="10.5" customHeight="1">
      <c r="A93" s="297" t="s">
        <v>2290</v>
      </c>
      <c r="B93" s="297" t="s">
        <v>2677</v>
      </c>
      <c r="C93" s="297" t="s">
        <v>2677</v>
      </c>
      <c r="D93" s="297" t="s">
        <v>1690</v>
      </c>
      <c r="E93" s="297" t="s">
        <v>1254</v>
      </c>
      <c r="F93" s="297" t="s">
        <v>3060</v>
      </c>
      <c r="G93" s="297"/>
      <c r="H93" s="297" t="s">
        <v>3146</v>
      </c>
      <c r="I93" s="297" t="s">
        <v>3147</v>
      </c>
      <c r="J93" s="45" t="str">
        <f t="shared" si="2"/>
        <v>GoldJSC Uralelectromed</v>
      </c>
      <c r="K93" s="45" t="str">
        <f t="shared" si="3"/>
        <v>GoldJSC Uralelectromed</v>
      </c>
      <c r="L93" s="243"/>
    </row>
    <row r="94" spans="1:12" ht="10.5" customHeight="1">
      <c r="A94" s="297" t="s">
        <v>2290</v>
      </c>
      <c r="B94" s="297" t="s">
        <v>72</v>
      </c>
      <c r="C94" s="297" t="s">
        <v>72</v>
      </c>
      <c r="D94" s="297" t="s">
        <v>2217</v>
      </c>
      <c r="E94" s="297" t="s">
        <v>1255</v>
      </c>
      <c r="F94" s="297" t="s">
        <v>3060</v>
      </c>
      <c r="G94" s="297"/>
      <c r="H94" s="297" t="s">
        <v>4708</v>
      </c>
      <c r="I94" s="297" t="s">
        <v>4708</v>
      </c>
      <c r="J94" s="45" t="str">
        <f t="shared" si="2"/>
        <v>GoldJX Nippon Mining &amp; Metals Co., Ltd.</v>
      </c>
      <c r="K94" s="45" t="str">
        <f t="shared" si="3"/>
        <v>GoldJX Nippon Mining &amp; Metals Co., Ltd.</v>
      </c>
      <c r="L94" s="243"/>
    </row>
    <row r="95" spans="1:12" ht="10.5" customHeight="1">
      <c r="A95" s="297" t="s">
        <v>2290</v>
      </c>
      <c r="B95" s="297" t="s">
        <v>3291</v>
      </c>
      <c r="C95" s="297" t="s">
        <v>3291</v>
      </c>
      <c r="D95" s="297" t="s">
        <v>2117</v>
      </c>
      <c r="E95" s="297" t="s">
        <v>3292</v>
      </c>
      <c r="F95" s="297" t="s">
        <v>3060</v>
      </c>
      <c r="G95" s="297"/>
      <c r="H95" s="297" t="s">
        <v>3288</v>
      </c>
      <c r="I95" s="297" t="s">
        <v>3288</v>
      </c>
      <c r="J95" s="45" t="str">
        <f t="shared" si="2"/>
        <v>GoldKaloti Precious Metals</v>
      </c>
      <c r="K95" s="45" t="str">
        <f t="shared" si="3"/>
        <v>GoldKaloti Precious Metals</v>
      </c>
      <c r="L95" s="243"/>
    </row>
    <row r="96" spans="1:12" ht="10.5" customHeight="1">
      <c r="A96" s="297" t="s">
        <v>2290</v>
      </c>
      <c r="B96" s="297" t="s">
        <v>4132</v>
      </c>
      <c r="C96" s="297" t="s">
        <v>4132</v>
      </c>
      <c r="D96" s="297" t="s">
        <v>2218</v>
      </c>
      <c r="E96" s="297" t="s">
        <v>4133</v>
      </c>
      <c r="F96" s="297" t="s">
        <v>3060</v>
      </c>
      <c r="G96" s="297"/>
      <c r="H96" s="297" t="s">
        <v>4135</v>
      </c>
      <c r="I96" s="297" t="s">
        <v>4134</v>
      </c>
      <c r="J96" s="45" t="str">
        <f t="shared" si="2"/>
        <v>GoldKazakhmys Smelting LLC</v>
      </c>
      <c r="K96" s="45" t="str">
        <f t="shared" si="3"/>
        <v>GoldKazakhmys Smelting LLC</v>
      </c>
      <c r="L96" s="243"/>
    </row>
    <row r="97" spans="1:12" ht="10.5" customHeight="1">
      <c r="A97" s="297" t="s">
        <v>2290</v>
      </c>
      <c r="B97" s="297" t="s">
        <v>3148</v>
      </c>
      <c r="C97" s="297" t="s">
        <v>3148</v>
      </c>
      <c r="D97" s="297" t="s">
        <v>2218</v>
      </c>
      <c r="E97" s="297" t="s">
        <v>1256</v>
      </c>
      <c r="F97" s="297" t="s">
        <v>3060</v>
      </c>
      <c r="G97" s="297"/>
      <c r="H97" s="297" t="s">
        <v>3149</v>
      </c>
      <c r="I97" s="297" t="s">
        <v>3334</v>
      </c>
      <c r="J97" s="45" t="str">
        <f t="shared" si="2"/>
        <v>GoldKazzinc</v>
      </c>
      <c r="K97" s="45" t="str">
        <f t="shared" si="3"/>
        <v>GoldKazzinc</v>
      </c>
      <c r="L97" s="243"/>
    </row>
    <row r="98" spans="1:12" ht="10.5" customHeight="1">
      <c r="A98" s="297" t="s">
        <v>2290</v>
      </c>
      <c r="B98" s="297" t="s">
        <v>1257</v>
      </c>
      <c r="C98" s="297" t="s">
        <v>1257</v>
      </c>
      <c r="D98" s="297" t="s">
        <v>4880</v>
      </c>
      <c r="E98" s="297" t="s">
        <v>1258</v>
      </c>
      <c r="F98" s="297" t="s">
        <v>3060</v>
      </c>
      <c r="G98" s="297"/>
      <c r="H98" s="297" t="s">
        <v>3150</v>
      </c>
      <c r="I98" s="297" t="s">
        <v>3142</v>
      </c>
      <c r="J98" s="45" t="str">
        <f t="shared" si="2"/>
        <v>GoldKennecott Utah Copper LLC</v>
      </c>
      <c r="K98" s="45" t="str">
        <f t="shared" si="3"/>
        <v>GoldKennecott Utah Copper LLC</v>
      </c>
      <c r="L98" s="243"/>
    </row>
    <row r="99" spans="1:12" ht="10.5" customHeight="1">
      <c r="A99" s="297" t="s">
        <v>2290</v>
      </c>
      <c r="B99" s="297" t="s">
        <v>2640</v>
      </c>
      <c r="C99" s="297" t="s">
        <v>2640</v>
      </c>
      <c r="D99" s="297" t="s">
        <v>1682</v>
      </c>
      <c r="E99" s="297" t="s">
        <v>2641</v>
      </c>
      <c r="F99" s="297" t="s">
        <v>3060</v>
      </c>
      <c r="G99" s="297"/>
      <c r="H99" s="297" t="s">
        <v>3280</v>
      </c>
      <c r="I99" s="297" t="s">
        <v>3281</v>
      </c>
      <c r="J99" s="45" t="str">
        <f t="shared" si="2"/>
        <v>GoldKGHM Polska Miedź Spółka Akcyjna</v>
      </c>
      <c r="K99" s="45" t="str">
        <f t="shared" si="3"/>
        <v>GoldKGHM Polska Miedź Spółka Akcyjna</v>
      </c>
      <c r="L99" s="243"/>
    </row>
    <row r="100" spans="1:12" ht="10.5" customHeight="1">
      <c r="A100" s="297" t="s">
        <v>2290</v>
      </c>
      <c r="B100" s="297" t="s">
        <v>4047</v>
      </c>
      <c r="C100" s="297" t="s">
        <v>4047</v>
      </c>
      <c r="D100" s="297" t="s">
        <v>2217</v>
      </c>
      <c r="E100" s="297" t="s">
        <v>1259</v>
      </c>
      <c r="F100" s="297" t="s">
        <v>3060</v>
      </c>
      <c r="G100" s="297"/>
      <c r="H100" s="297" t="s">
        <v>3151</v>
      </c>
      <c r="I100" s="297" t="s">
        <v>3114</v>
      </c>
      <c r="J100" s="45" t="str">
        <f t="shared" si="2"/>
        <v>GoldKojima Chemicals Co., Ltd.</v>
      </c>
      <c r="K100" s="45" t="str">
        <f t="shared" si="3"/>
        <v>GoldKojima Chemicals Co., Ltd.</v>
      </c>
      <c r="L100" s="243"/>
    </row>
    <row r="101" spans="1:12" ht="10.5" customHeight="1">
      <c r="A101" s="297" t="s">
        <v>2290</v>
      </c>
      <c r="B101" s="297" t="s">
        <v>3152</v>
      </c>
      <c r="C101" s="297" t="s">
        <v>4047</v>
      </c>
      <c r="D101" s="297" t="s">
        <v>2217</v>
      </c>
      <c r="E101" s="297" t="s">
        <v>1259</v>
      </c>
      <c r="F101" s="297" t="s">
        <v>3060</v>
      </c>
      <c r="G101" s="297"/>
      <c r="H101" s="297" t="s">
        <v>3151</v>
      </c>
      <c r="I101" s="297" t="s">
        <v>3114</v>
      </c>
      <c r="J101" s="45" t="str">
        <f t="shared" si="2"/>
        <v>GoldKojima Kagaku Yakuhin Co., Ltd</v>
      </c>
      <c r="K101" s="45" t="str">
        <f t="shared" si="3"/>
        <v>GoldKojima Kagaku Yakuhin Co., Ltd</v>
      </c>
      <c r="L101" s="243"/>
    </row>
    <row r="102" spans="1:12" ht="10.5" customHeight="1">
      <c r="A102" s="297" t="s">
        <v>2290</v>
      </c>
      <c r="B102" s="297" t="s">
        <v>4180</v>
      </c>
      <c r="C102" s="297" t="s">
        <v>2640</v>
      </c>
      <c r="D102" s="297" t="s">
        <v>1682</v>
      </c>
      <c r="E102" s="297" t="s">
        <v>2641</v>
      </c>
      <c r="F102" s="297" t="s">
        <v>3060</v>
      </c>
      <c r="G102" s="297"/>
      <c r="H102" s="297" t="s">
        <v>3280</v>
      </c>
      <c r="I102" s="297" t="s">
        <v>3281</v>
      </c>
      <c r="J102" s="45" t="str">
        <f t="shared" si="2"/>
        <v>GoldKombinat Gorniczo Hutniczy Miedz Polska Miedz S.A.</v>
      </c>
      <c r="K102" s="45" t="str">
        <f t="shared" si="3"/>
        <v>GoldKombinat Gorniczo Hutniczy Miedz Polska Miedz S.A.</v>
      </c>
      <c r="L102" s="243"/>
    </row>
    <row r="103" spans="1:12" ht="10.5" customHeight="1">
      <c r="A103" s="297" t="s">
        <v>2290</v>
      </c>
      <c r="B103" s="297" t="s">
        <v>4567</v>
      </c>
      <c r="C103" s="297" t="s">
        <v>4567</v>
      </c>
      <c r="D103" s="297" t="s">
        <v>4876</v>
      </c>
      <c r="E103" s="297" t="s">
        <v>3299</v>
      </c>
      <c r="F103" s="297" t="s">
        <v>3060</v>
      </c>
      <c r="G103" s="297"/>
      <c r="H103" s="297" t="s">
        <v>3300</v>
      </c>
      <c r="I103" s="297" t="s">
        <v>3153</v>
      </c>
      <c r="J103" s="45" t="str">
        <f t="shared" si="2"/>
        <v>GoldKorea Zinc Co., Ltd.</v>
      </c>
      <c r="K103" s="45" t="str">
        <f t="shared" si="3"/>
        <v>GoldKorea Zinc Co., Ltd.</v>
      </c>
      <c r="L103" s="243"/>
    </row>
    <row r="104" spans="1:12" ht="10.5" customHeight="1">
      <c r="A104" s="297" t="s">
        <v>2290</v>
      </c>
      <c r="B104" s="297" t="s">
        <v>1485</v>
      </c>
      <c r="C104" s="297" t="s">
        <v>1485</v>
      </c>
      <c r="D104" s="297" t="s">
        <v>2220</v>
      </c>
      <c r="E104" s="297" t="s">
        <v>1260</v>
      </c>
      <c r="F104" s="297" t="s">
        <v>3060</v>
      </c>
      <c r="G104" s="297"/>
      <c r="H104" s="297" t="s">
        <v>3154</v>
      </c>
      <c r="I104" s="297" t="s">
        <v>3155</v>
      </c>
      <c r="J104" s="45" t="str">
        <f t="shared" si="2"/>
        <v>GoldKyrgyzaltyn JSC</v>
      </c>
      <c r="K104" s="45" t="str">
        <f t="shared" si="3"/>
        <v>GoldKyrgyzaltyn JSC</v>
      </c>
      <c r="L104" s="243"/>
    </row>
    <row r="105" spans="1:12" ht="10.5" customHeight="1">
      <c r="A105" s="297" t="s">
        <v>2290</v>
      </c>
      <c r="B105" s="297" t="s">
        <v>4181</v>
      </c>
      <c r="C105" s="297" t="s">
        <v>1758</v>
      </c>
      <c r="D105" s="297" t="s">
        <v>2243</v>
      </c>
      <c r="E105" s="297" t="s">
        <v>1225</v>
      </c>
      <c r="F105" s="297" t="s">
        <v>3060</v>
      </c>
      <c r="G105" s="297"/>
      <c r="H105" s="297" t="s">
        <v>3087</v>
      </c>
      <c r="I105" s="297" t="s">
        <v>3088</v>
      </c>
      <c r="J105" s="45" t="str">
        <f t="shared" si="2"/>
        <v>GoldLa Caridad</v>
      </c>
      <c r="K105" s="45" t="str">
        <f t="shared" si="3"/>
        <v>GoldLa Caridad</v>
      </c>
      <c r="L105" s="243"/>
    </row>
    <row r="106" spans="1:12" ht="10.5" customHeight="1">
      <c r="A106" s="297" t="s">
        <v>2290</v>
      </c>
      <c r="B106" s="297" t="s">
        <v>37</v>
      </c>
      <c r="C106" s="297" t="s">
        <v>4063</v>
      </c>
      <c r="D106" s="297" t="s">
        <v>2150</v>
      </c>
      <c r="E106" s="297" t="s">
        <v>1301</v>
      </c>
      <c r="F106" s="297" t="s">
        <v>3060</v>
      </c>
      <c r="G106" s="297"/>
      <c r="H106" s="297" t="s">
        <v>3221</v>
      </c>
      <c r="I106" s="297" t="s">
        <v>3199</v>
      </c>
      <c r="J106" s="45" t="str">
        <f t="shared" si="2"/>
        <v>GoldLAIZHOU SHANDONG</v>
      </c>
      <c r="K106" s="45" t="str">
        <f t="shared" si="3"/>
        <v>GoldLAIZHOU SHANDONG</v>
      </c>
      <c r="L106" s="243"/>
    </row>
    <row r="107" spans="1:12" ht="10.5" customHeight="1">
      <c r="A107" s="297" t="s">
        <v>2290</v>
      </c>
      <c r="B107" s="297" t="s">
        <v>4568</v>
      </c>
      <c r="C107" s="297" t="s">
        <v>4568</v>
      </c>
      <c r="D107" s="297" t="s">
        <v>1692</v>
      </c>
      <c r="E107" s="297" t="s">
        <v>1261</v>
      </c>
      <c r="F107" s="297" t="s">
        <v>3060</v>
      </c>
      <c r="G107" s="297"/>
      <c r="H107" s="297" t="s">
        <v>3156</v>
      </c>
      <c r="I107" s="297" t="s">
        <v>3157</v>
      </c>
      <c r="J107" s="45" t="str">
        <f t="shared" si="2"/>
        <v>GoldL'azurde Company For Jewelry</v>
      </c>
      <c r="K107" s="45" t="str">
        <f t="shared" si="3"/>
        <v>GoldL'azurde Company For Jewelry</v>
      </c>
      <c r="L107" s="243"/>
    </row>
    <row r="108" spans="1:12" ht="10.5" customHeight="1">
      <c r="A108" s="297" t="s">
        <v>2290</v>
      </c>
      <c r="B108" s="297" t="s">
        <v>4898</v>
      </c>
      <c r="C108" s="297" t="s">
        <v>4569</v>
      </c>
      <c r="D108" s="297" t="s">
        <v>2150</v>
      </c>
      <c r="E108" s="297" t="s">
        <v>2642</v>
      </c>
      <c r="F108" s="297" t="s">
        <v>3060</v>
      </c>
      <c r="G108" s="297"/>
      <c r="H108" s="297" t="s">
        <v>3158</v>
      </c>
      <c r="I108" s="297" t="s">
        <v>3159</v>
      </c>
      <c r="J108" s="45" t="str">
        <f t="shared" si="2"/>
        <v>GoldLinBao Gold Mining</v>
      </c>
      <c r="K108" s="45" t="str">
        <f t="shared" si="3"/>
        <v>GoldLinBao Gold Mining</v>
      </c>
      <c r="L108" s="243"/>
    </row>
    <row r="109" spans="1:12" ht="10.5" customHeight="1">
      <c r="A109" s="297" t="s">
        <v>2290</v>
      </c>
      <c r="B109" s="297" t="s">
        <v>4569</v>
      </c>
      <c r="C109" s="297" t="s">
        <v>4569</v>
      </c>
      <c r="D109" s="297" t="s">
        <v>2150</v>
      </c>
      <c r="E109" s="297" t="s">
        <v>2642</v>
      </c>
      <c r="F109" s="297" t="s">
        <v>3060</v>
      </c>
      <c r="G109" s="297"/>
      <c r="H109" s="297" t="s">
        <v>3158</v>
      </c>
      <c r="I109" s="297" t="s">
        <v>3159</v>
      </c>
      <c r="J109" s="45" t="str">
        <f t="shared" si="2"/>
        <v>GoldLingbao Gold Co., Ltd.</v>
      </c>
      <c r="K109" s="45" t="str">
        <f t="shared" si="3"/>
        <v>GoldLingbao Gold Co., Ltd.</v>
      </c>
      <c r="L109" s="243"/>
    </row>
    <row r="110" spans="1:12" ht="10.5" customHeight="1">
      <c r="A110" s="297" t="s">
        <v>2290</v>
      </c>
      <c r="B110" s="297" t="s">
        <v>4048</v>
      </c>
      <c r="C110" s="297" t="s">
        <v>4048</v>
      </c>
      <c r="D110" s="297" t="s">
        <v>2150</v>
      </c>
      <c r="E110" s="297" t="s">
        <v>1262</v>
      </c>
      <c r="F110" s="297" t="s">
        <v>3060</v>
      </c>
      <c r="G110" s="297"/>
      <c r="H110" s="297" t="s">
        <v>3158</v>
      </c>
      <c r="I110" s="297" t="s">
        <v>3159</v>
      </c>
      <c r="J110" s="45" t="str">
        <f t="shared" si="2"/>
        <v>GoldLingbao Jinyuan Tonghui Refinery Co., Ltd.</v>
      </c>
      <c r="K110" s="45" t="str">
        <f t="shared" si="3"/>
        <v>GoldLingbao Jinyuan Tonghui Refinery Co., Ltd.</v>
      </c>
      <c r="L110" s="243"/>
    </row>
    <row r="111" spans="1:12" ht="10.5" customHeight="1">
      <c r="A111" s="297" t="s">
        <v>2290</v>
      </c>
      <c r="B111" s="297" t="s">
        <v>4899</v>
      </c>
      <c r="C111" s="297" t="s">
        <v>4899</v>
      </c>
      <c r="D111" s="297" t="s">
        <v>2115</v>
      </c>
      <c r="E111" s="297" t="s">
        <v>4900</v>
      </c>
      <c r="F111" s="297" t="s">
        <v>3060</v>
      </c>
      <c r="G111" s="297"/>
      <c r="H111" s="297" t="s">
        <v>4918</v>
      </c>
      <c r="I111" s="297" t="s">
        <v>4918</v>
      </c>
      <c r="J111" s="45" t="str">
        <f t="shared" si="2"/>
        <v>GoldL'Orfebre S.A.</v>
      </c>
      <c r="K111" s="45" t="str">
        <f t="shared" si="3"/>
        <v>GoldL'Orfebre S.A.</v>
      </c>
      <c r="L111" s="243"/>
    </row>
    <row r="112" spans="1:12" ht="10.5" customHeight="1">
      <c r="A112" s="297" t="s">
        <v>2290</v>
      </c>
      <c r="B112" s="297" t="s">
        <v>73</v>
      </c>
      <c r="C112" s="297" t="s">
        <v>73</v>
      </c>
      <c r="D112" s="297" t="s">
        <v>4876</v>
      </c>
      <c r="E112" s="297" t="s">
        <v>1263</v>
      </c>
      <c r="F112" s="297" t="s">
        <v>3060</v>
      </c>
      <c r="G112" s="297"/>
      <c r="H112" s="297" t="s">
        <v>3160</v>
      </c>
      <c r="I112" s="297" t="s">
        <v>3161</v>
      </c>
      <c r="J112" s="45" t="str">
        <f t="shared" si="2"/>
        <v>GoldLS-NIKKO Copper Inc.</v>
      </c>
      <c r="K112" s="45" t="str">
        <f t="shared" si="3"/>
        <v>GoldLS-NIKKO Copper Inc.</v>
      </c>
      <c r="L112" s="243"/>
    </row>
    <row r="113" spans="1:12" ht="10.5" customHeight="1">
      <c r="A113" s="297" t="s">
        <v>2290</v>
      </c>
      <c r="B113" s="297" t="s">
        <v>3162</v>
      </c>
      <c r="C113" s="297" t="s">
        <v>3162</v>
      </c>
      <c r="D113" s="297" t="s">
        <v>2150</v>
      </c>
      <c r="E113" s="297" t="s">
        <v>1265</v>
      </c>
      <c r="F113" s="297" t="s">
        <v>3060</v>
      </c>
      <c r="G113" s="297"/>
      <c r="H113" s="297" t="s">
        <v>3163</v>
      </c>
      <c r="I113" s="297" t="s">
        <v>3159</v>
      </c>
      <c r="J113" s="45" t="str">
        <f t="shared" si="2"/>
        <v>GoldLuoyang Zijin Yinhui Gold Refinery Co., Ltd.</v>
      </c>
      <c r="K113" s="45" t="str">
        <f t="shared" si="3"/>
        <v>GoldLuoyang Zijin Yinhui Gold Refinery Co., Ltd.</v>
      </c>
      <c r="L113" s="243"/>
    </row>
    <row r="114" spans="1:12" ht="10.5" customHeight="1">
      <c r="A114" s="297" t="s">
        <v>2290</v>
      </c>
      <c r="B114" s="297" t="s">
        <v>38</v>
      </c>
      <c r="C114" s="297" t="s">
        <v>3162</v>
      </c>
      <c r="D114" s="297" t="s">
        <v>2150</v>
      </c>
      <c r="E114" s="297" t="s">
        <v>1265</v>
      </c>
      <c r="F114" s="297" t="s">
        <v>3060</v>
      </c>
      <c r="G114" s="297"/>
      <c r="H114" s="297" t="s">
        <v>3163</v>
      </c>
      <c r="I114" s="297" t="s">
        <v>3159</v>
      </c>
      <c r="J114" s="45" t="str">
        <f t="shared" si="2"/>
        <v>GoldLuoyang Zijin Yinhui Gold Smelting</v>
      </c>
      <c r="K114" s="45" t="str">
        <f t="shared" si="3"/>
        <v>GoldLuoyang Zijin Yinhui Gold Smelting</v>
      </c>
      <c r="L114" s="243"/>
    </row>
    <row r="115" spans="1:12" ht="10.5" customHeight="1">
      <c r="A115" s="297" t="s">
        <v>2290</v>
      </c>
      <c r="B115" s="297" t="s">
        <v>1264</v>
      </c>
      <c r="C115" s="297" t="s">
        <v>3162</v>
      </c>
      <c r="D115" s="297" t="s">
        <v>2150</v>
      </c>
      <c r="E115" s="297" t="s">
        <v>1265</v>
      </c>
      <c r="F115" s="297" t="s">
        <v>3060</v>
      </c>
      <c r="G115" s="297"/>
      <c r="H115" s="297" t="s">
        <v>3163</v>
      </c>
      <c r="I115" s="297" t="s">
        <v>3159</v>
      </c>
      <c r="J115" s="45" t="str">
        <f t="shared" si="2"/>
        <v>GoldLuoyang Zijin Yinhui Metal Smelt Co Ltd</v>
      </c>
      <c r="K115" s="45" t="str">
        <f t="shared" si="3"/>
        <v>GoldLuoyang Zijin Yinhui Metal Smelt Co Ltd</v>
      </c>
      <c r="L115" s="243"/>
    </row>
    <row r="116" spans="1:12" ht="10.5" customHeight="1">
      <c r="A116" s="297" t="s">
        <v>2290</v>
      </c>
      <c r="B116" s="297" t="s">
        <v>1763</v>
      </c>
      <c r="C116" s="297" t="s">
        <v>1763</v>
      </c>
      <c r="D116" s="297" t="s">
        <v>4880</v>
      </c>
      <c r="E116" s="297" t="s">
        <v>1266</v>
      </c>
      <c r="F116" s="297" t="s">
        <v>3060</v>
      </c>
      <c r="G116" s="297"/>
      <c r="H116" s="297" t="s">
        <v>3164</v>
      </c>
      <c r="I116" s="297" t="s">
        <v>3165</v>
      </c>
      <c r="J116" s="45" t="str">
        <f t="shared" si="2"/>
        <v>GoldMaterion</v>
      </c>
      <c r="K116" s="45" t="str">
        <f t="shared" si="3"/>
        <v>GoldMaterion</v>
      </c>
      <c r="L116" s="243"/>
    </row>
    <row r="117" spans="1:12" ht="10.5" customHeight="1">
      <c r="A117" s="297" t="s">
        <v>2290</v>
      </c>
      <c r="B117" s="297" t="s">
        <v>74</v>
      </c>
      <c r="C117" s="297" t="s">
        <v>74</v>
      </c>
      <c r="D117" s="297" t="s">
        <v>2217</v>
      </c>
      <c r="E117" s="297" t="s">
        <v>1267</v>
      </c>
      <c r="F117" s="297" t="s">
        <v>3060</v>
      </c>
      <c r="G117" s="297"/>
      <c r="H117" s="297" t="s">
        <v>3166</v>
      </c>
      <c r="I117" s="297" t="s">
        <v>3114</v>
      </c>
      <c r="J117" s="45" t="str">
        <f t="shared" si="2"/>
        <v>GoldMatsuda Sangyo Co., Ltd.</v>
      </c>
      <c r="K117" s="45" t="str">
        <f t="shared" si="3"/>
        <v>GoldMatsuda Sangyo Co., Ltd.</v>
      </c>
      <c r="L117" s="243"/>
    </row>
    <row r="118" spans="1:12" ht="10.5" customHeight="1">
      <c r="A118" s="297" t="s">
        <v>2290</v>
      </c>
      <c r="B118" s="297" t="s">
        <v>39</v>
      </c>
      <c r="C118" s="297" t="s">
        <v>76</v>
      </c>
      <c r="D118" s="297" t="s">
        <v>2217</v>
      </c>
      <c r="E118" s="297" t="s">
        <v>1298</v>
      </c>
      <c r="F118" s="297" t="s">
        <v>3060</v>
      </c>
      <c r="G118" s="297"/>
      <c r="H118" s="297" t="s">
        <v>3232</v>
      </c>
      <c r="I118" s="297" t="s">
        <v>4169</v>
      </c>
      <c r="J118" s="45" t="str">
        <f t="shared" si="2"/>
        <v>GoldMEM(Sumitomo Group)</v>
      </c>
      <c r="K118" s="45" t="str">
        <f t="shared" si="3"/>
        <v>GoldMEM(Sumitomo Group)</v>
      </c>
      <c r="L118" s="243"/>
    </row>
    <row r="119" spans="1:12" ht="10.5" customHeight="1">
      <c r="A119" s="297" t="s">
        <v>2290</v>
      </c>
      <c r="B119" s="297" t="s">
        <v>4571</v>
      </c>
      <c r="C119" s="297" t="s">
        <v>4572</v>
      </c>
      <c r="D119" s="297" t="s">
        <v>2243</v>
      </c>
      <c r="E119" s="297" t="s">
        <v>1272</v>
      </c>
      <c r="F119" s="297" t="s">
        <v>3060</v>
      </c>
      <c r="G119" s="297"/>
      <c r="H119" s="297" t="s">
        <v>3178</v>
      </c>
      <c r="I119" s="297" t="s">
        <v>3179</v>
      </c>
      <c r="J119" s="45" t="str">
        <f t="shared" si="2"/>
        <v>GoldMetal?rgica Met-Mex Pe?oles, S.A. de C.V</v>
      </c>
      <c r="K119" s="45" t="str">
        <f t="shared" si="3"/>
        <v>GoldMetal?rgica Met-Mex Pe?oles, S.A. de C.V</v>
      </c>
      <c r="L119" s="243"/>
    </row>
    <row r="120" spans="1:12" ht="10.5" customHeight="1">
      <c r="A120" s="297" t="s">
        <v>2290</v>
      </c>
      <c r="B120" s="297" t="s">
        <v>2346</v>
      </c>
      <c r="C120" s="297" t="s">
        <v>4570</v>
      </c>
      <c r="D120" s="297" t="s">
        <v>2148</v>
      </c>
      <c r="E120" s="297" t="s">
        <v>1270</v>
      </c>
      <c r="F120" s="297" t="s">
        <v>3060</v>
      </c>
      <c r="G120" s="297"/>
      <c r="H120" s="297" t="s">
        <v>3174</v>
      </c>
      <c r="I120" s="297" t="s">
        <v>3175</v>
      </c>
      <c r="J120" s="45" t="str">
        <f t="shared" si="2"/>
        <v>GoldMetalor Switzerland</v>
      </c>
      <c r="K120" s="45" t="str">
        <f t="shared" si="3"/>
        <v>GoldMetalor Switzerland</v>
      </c>
      <c r="L120" s="243"/>
    </row>
    <row r="121" spans="1:12" ht="10.5" customHeight="1">
      <c r="A121" s="297" t="s">
        <v>2290</v>
      </c>
      <c r="B121" s="297" t="s">
        <v>4050</v>
      </c>
      <c r="C121" s="297" t="s">
        <v>4050</v>
      </c>
      <c r="D121" s="297" t="s">
        <v>2150</v>
      </c>
      <c r="E121" s="297" t="s">
        <v>1268</v>
      </c>
      <c r="F121" s="297" t="s">
        <v>3060</v>
      </c>
      <c r="G121" s="297"/>
      <c r="H121" s="297" t="s">
        <v>3171</v>
      </c>
      <c r="I121" s="297" t="s">
        <v>3126</v>
      </c>
      <c r="J121" s="45" t="str">
        <f t="shared" si="2"/>
        <v>GoldMetalor Technologies (Hong Kong) Ltd.</v>
      </c>
      <c r="K121" s="45" t="str">
        <f t="shared" si="3"/>
        <v>GoldMetalor Technologies (Hong Kong) Ltd.</v>
      </c>
      <c r="L121" s="243"/>
    </row>
    <row r="122" spans="1:12" ht="10.5" customHeight="1">
      <c r="A122" s="297" t="s">
        <v>2290</v>
      </c>
      <c r="B122" s="297" t="s">
        <v>4051</v>
      </c>
      <c r="C122" s="297" t="s">
        <v>4051</v>
      </c>
      <c r="D122" s="297" t="s">
        <v>1695</v>
      </c>
      <c r="E122" s="297" t="s">
        <v>1269</v>
      </c>
      <c r="F122" s="297" t="s">
        <v>3060</v>
      </c>
      <c r="G122" s="297"/>
      <c r="H122" s="297" t="s">
        <v>3172</v>
      </c>
      <c r="I122" s="297" t="s">
        <v>3173</v>
      </c>
      <c r="J122" s="45" t="str">
        <f t="shared" si="2"/>
        <v>GoldMetalor Technologies (Singapore) Pte., Ltd.</v>
      </c>
      <c r="K122" s="45" t="str">
        <f t="shared" si="3"/>
        <v>GoldMetalor Technologies (Singapore) Pte., Ltd.</v>
      </c>
      <c r="L122" s="243"/>
    </row>
    <row r="123" spans="1:12" ht="10.5" customHeight="1">
      <c r="A123" s="297" t="s">
        <v>2290</v>
      </c>
      <c r="B123" s="297" t="s">
        <v>3167</v>
      </c>
      <c r="C123" s="297" t="s">
        <v>3167</v>
      </c>
      <c r="D123" s="297" t="s">
        <v>2150</v>
      </c>
      <c r="E123" s="297" t="s">
        <v>3168</v>
      </c>
      <c r="F123" s="297" t="s">
        <v>3060</v>
      </c>
      <c r="G123" s="297"/>
      <c r="H123" s="297" t="s">
        <v>3169</v>
      </c>
      <c r="I123" s="297" t="s">
        <v>3170</v>
      </c>
      <c r="J123" s="45" t="str">
        <f t="shared" si="2"/>
        <v>GoldMetalor Technologies (Suzhou) Ltd.</v>
      </c>
      <c r="K123" s="45" t="str">
        <f t="shared" si="3"/>
        <v>GoldMetalor Technologies (Suzhou) Ltd.</v>
      </c>
      <c r="L123" s="243"/>
    </row>
    <row r="124" spans="1:12" ht="10.5" customHeight="1">
      <c r="A124" s="297" t="s">
        <v>2290</v>
      </c>
      <c r="B124" s="297" t="s">
        <v>4570</v>
      </c>
      <c r="C124" s="297" t="s">
        <v>4570</v>
      </c>
      <c r="D124" s="297" t="s">
        <v>2148</v>
      </c>
      <c r="E124" s="297" t="s">
        <v>1270</v>
      </c>
      <c r="F124" s="297" t="s">
        <v>3060</v>
      </c>
      <c r="G124" s="297"/>
      <c r="H124" s="297" t="s">
        <v>3174</v>
      </c>
      <c r="I124" s="297" t="s">
        <v>3175</v>
      </c>
      <c r="J124" s="45" t="str">
        <f t="shared" si="2"/>
        <v>GoldMetalor Technologies S.A.</v>
      </c>
      <c r="K124" s="45" t="str">
        <f t="shared" si="3"/>
        <v>GoldMetalor Technologies S.A.</v>
      </c>
      <c r="L124" s="243"/>
    </row>
    <row r="125" spans="1:12" ht="10.5" customHeight="1">
      <c r="A125" s="297" t="s">
        <v>2290</v>
      </c>
      <c r="B125" s="297" t="s">
        <v>2420</v>
      </c>
      <c r="C125" s="297" t="s">
        <v>2420</v>
      </c>
      <c r="D125" s="297" t="s">
        <v>4880</v>
      </c>
      <c r="E125" s="297" t="s">
        <v>1271</v>
      </c>
      <c r="F125" s="297" t="s">
        <v>3060</v>
      </c>
      <c r="G125" s="297"/>
      <c r="H125" s="297" t="s">
        <v>3176</v>
      </c>
      <c r="I125" s="297" t="s">
        <v>3177</v>
      </c>
      <c r="J125" s="45" t="str">
        <f t="shared" si="2"/>
        <v>GoldMetalor USA Refining Corporation</v>
      </c>
      <c r="K125" s="45" t="str">
        <f t="shared" si="3"/>
        <v>GoldMetalor USA Refining Corporation</v>
      </c>
      <c r="L125" s="243"/>
    </row>
    <row r="126" spans="1:12" ht="10.5" customHeight="1">
      <c r="A126" s="297" t="s">
        <v>2290</v>
      </c>
      <c r="B126" s="297" t="s">
        <v>4572</v>
      </c>
      <c r="C126" s="297" t="s">
        <v>4572</v>
      </c>
      <c r="D126" s="297" t="s">
        <v>2243</v>
      </c>
      <c r="E126" s="297" t="s">
        <v>1272</v>
      </c>
      <c r="F126" s="297" t="s">
        <v>3060</v>
      </c>
      <c r="G126" s="297"/>
      <c r="H126" s="297" t="s">
        <v>3178</v>
      </c>
      <c r="I126" s="297" t="s">
        <v>3179</v>
      </c>
      <c r="J126" s="45" t="str">
        <f t="shared" si="2"/>
        <v>GoldMetalúrgica Met-Mex Peñoles S.A. De C.V.</v>
      </c>
      <c r="K126" s="45" t="str">
        <f t="shared" si="3"/>
        <v>GoldMetalúrgica Met-Mex Peñoles S.A. De C.V.</v>
      </c>
      <c r="L126" s="243"/>
    </row>
    <row r="127" spans="1:12" ht="10.5" customHeight="1">
      <c r="A127" s="297" t="s">
        <v>2290</v>
      </c>
      <c r="B127" s="297" t="s">
        <v>4573</v>
      </c>
      <c r="C127" s="297" t="s">
        <v>4572</v>
      </c>
      <c r="D127" s="297" t="s">
        <v>2243</v>
      </c>
      <c r="E127" s="297" t="s">
        <v>1272</v>
      </c>
      <c r="F127" s="297" t="s">
        <v>3060</v>
      </c>
      <c r="G127" s="297"/>
      <c r="H127" s="297" t="s">
        <v>3178</v>
      </c>
      <c r="I127" s="297" t="s">
        <v>3179</v>
      </c>
      <c r="J127" s="45" t="str">
        <f t="shared" si="2"/>
        <v>GoldMet-Mex Pe?oles, S.A.</v>
      </c>
      <c r="K127" s="45" t="str">
        <f t="shared" si="3"/>
        <v>GoldMet-Mex Pe?oles, S.A.</v>
      </c>
      <c r="L127" s="243"/>
    </row>
    <row r="128" spans="1:12" ht="10.5" customHeight="1">
      <c r="A128" s="297" t="s">
        <v>2290</v>
      </c>
      <c r="B128" s="297" t="s">
        <v>4035</v>
      </c>
      <c r="C128" s="297" t="s">
        <v>4572</v>
      </c>
      <c r="D128" s="297" t="s">
        <v>2243</v>
      </c>
      <c r="E128" s="297" t="s">
        <v>1272</v>
      </c>
      <c r="F128" s="297" t="s">
        <v>3060</v>
      </c>
      <c r="G128" s="297"/>
      <c r="H128" s="297" t="s">
        <v>3178</v>
      </c>
      <c r="I128" s="297" t="s">
        <v>3179</v>
      </c>
      <c r="J128" s="45" t="str">
        <f t="shared" si="2"/>
        <v>GoldMet-Mex Penoles, S.A.</v>
      </c>
      <c r="K128" s="45" t="str">
        <f t="shared" si="3"/>
        <v>GoldMet-Mex Penoles, S.A.</v>
      </c>
      <c r="L128" s="243"/>
    </row>
    <row r="129" spans="1:12" ht="10.5" customHeight="1">
      <c r="A129" s="297" t="s">
        <v>2290</v>
      </c>
      <c r="B129" s="297" t="s">
        <v>2338</v>
      </c>
      <c r="C129" s="297" t="s">
        <v>2338</v>
      </c>
      <c r="D129" s="297" t="s">
        <v>2217</v>
      </c>
      <c r="E129" s="297" t="s">
        <v>1273</v>
      </c>
      <c r="F129" s="297" t="s">
        <v>3060</v>
      </c>
      <c r="G129" s="297"/>
      <c r="H129" s="297" t="s">
        <v>3180</v>
      </c>
      <c r="I129" s="297" t="s">
        <v>4168</v>
      </c>
      <c r="J129" s="45" t="str">
        <f t="shared" si="2"/>
        <v>GoldMitsubishi Materials Corporation</v>
      </c>
      <c r="K129" s="45" t="str">
        <f t="shared" si="3"/>
        <v>GoldMitsubishi Materials Corporation</v>
      </c>
      <c r="L129" s="243"/>
    </row>
    <row r="130" spans="1:12" ht="10.5" customHeight="1">
      <c r="A130" s="297" t="s">
        <v>2290</v>
      </c>
      <c r="B130" s="297" t="s">
        <v>3183</v>
      </c>
      <c r="C130" s="297" t="s">
        <v>2421</v>
      </c>
      <c r="D130" s="297" t="s">
        <v>2217</v>
      </c>
      <c r="E130" s="297" t="s">
        <v>1274</v>
      </c>
      <c r="F130" s="297" t="s">
        <v>3060</v>
      </c>
      <c r="G130" s="297"/>
      <c r="H130" s="297" t="s">
        <v>3182</v>
      </c>
      <c r="I130" s="297" t="s">
        <v>3181</v>
      </c>
      <c r="J130" s="45" t="str">
        <f t="shared" si="2"/>
        <v>GoldMitsui Kinzoku Co., Ltd.</v>
      </c>
      <c r="K130" s="45" t="str">
        <f t="shared" si="3"/>
        <v>GoldMitsui Kinzoku Co., Ltd.</v>
      </c>
      <c r="L130" s="243"/>
    </row>
    <row r="131" spans="1:12" ht="10.5" customHeight="1">
      <c r="A131" s="297" t="s">
        <v>2290</v>
      </c>
      <c r="B131" s="297" t="s">
        <v>2421</v>
      </c>
      <c r="C131" s="297" t="s">
        <v>2421</v>
      </c>
      <c r="D131" s="297" t="s">
        <v>2217</v>
      </c>
      <c r="E131" s="297" t="s">
        <v>1274</v>
      </c>
      <c r="F131" s="297" t="s">
        <v>3060</v>
      </c>
      <c r="G131" s="297"/>
      <c r="H131" s="297" t="s">
        <v>3182</v>
      </c>
      <c r="I131" s="297" t="s">
        <v>3181</v>
      </c>
      <c r="J131" s="45" t="str">
        <f t="shared" si="2"/>
        <v>GoldMitsui Mining and Smelting Co., Ltd.</v>
      </c>
      <c r="K131" s="45" t="str">
        <f t="shared" si="3"/>
        <v>GoldMitsui Mining and Smelting Co., Ltd.</v>
      </c>
      <c r="L131" s="243"/>
    </row>
    <row r="132" spans="1:12" ht="10.5" customHeight="1">
      <c r="A132" s="297" t="s">
        <v>2290</v>
      </c>
      <c r="B132" s="297" t="s">
        <v>4076</v>
      </c>
      <c r="C132" s="297" t="s">
        <v>4076</v>
      </c>
      <c r="D132" s="297" t="s">
        <v>2207</v>
      </c>
      <c r="E132" s="297" t="s">
        <v>2643</v>
      </c>
      <c r="F132" s="297" t="s">
        <v>3060</v>
      </c>
      <c r="G132" s="297"/>
      <c r="H132" s="297" t="s">
        <v>3276</v>
      </c>
      <c r="I132" s="297" t="s">
        <v>3277</v>
      </c>
      <c r="J132" s="45" t="str">
        <f t="shared" ref="J132:J196" si="4">A132&amp;B132</f>
        <v>GoldMMTC-PAMP India Pvt., Ltd.</v>
      </c>
      <c r="K132" s="45" t="str">
        <f t="shared" ref="K132:K196" si="5">A132&amp;B132</f>
        <v>GoldMMTC-PAMP India Pvt., Ltd.</v>
      </c>
      <c r="L132" s="243"/>
    </row>
    <row r="133" spans="1:12" ht="10.5" customHeight="1">
      <c r="A133" s="297" t="s">
        <v>2290</v>
      </c>
      <c r="B133" s="297" t="s">
        <v>4575</v>
      </c>
      <c r="C133" s="297" t="s">
        <v>4575</v>
      </c>
      <c r="D133" s="297" t="s">
        <v>2256</v>
      </c>
      <c r="E133" s="297" t="s">
        <v>4576</v>
      </c>
      <c r="F133" s="297" t="s">
        <v>3060</v>
      </c>
      <c r="G133" s="297"/>
      <c r="H133" s="297" t="s">
        <v>4629</v>
      </c>
      <c r="I133" s="297" t="s">
        <v>4630</v>
      </c>
      <c r="J133" s="45" t="str">
        <f t="shared" si="4"/>
        <v>GoldModeltech Sdn Bhd</v>
      </c>
      <c r="K133" s="45" t="str">
        <f t="shared" si="5"/>
        <v>GoldModeltech Sdn Bhd</v>
      </c>
      <c r="L133" s="243"/>
    </row>
    <row r="134" spans="1:12" ht="10.5" customHeight="1">
      <c r="A134" s="297" t="s">
        <v>2290</v>
      </c>
      <c r="B134" s="297" t="s">
        <v>4164</v>
      </c>
      <c r="C134" s="297" t="s">
        <v>4164</v>
      </c>
      <c r="D134" s="297" t="s">
        <v>2269</v>
      </c>
      <c r="E134" s="297" t="s">
        <v>4165</v>
      </c>
      <c r="F134" s="297" t="s">
        <v>3060</v>
      </c>
      <c r="G134" s="297"/>
      <c r="H134" s="297" t="s">
        <v>4577</v>
      </c>
      <c r="I134" s="297" t="s">
        <v>4166</v>
      </c>
      <c r="J134" s="45" t="str">
        <f t="shared" si="4"/>
        <v>GoldMorris and Watson</v>
      </c>
      <c r="K134" s="45" t="str">
        <f t="shared" si="5"/>
        <v>GoldMorris and Watson</v>
      </c>
      <c r="L134" s="243"/>
    </row>
    <row r="135" spans="1:12" ht="10.5" customHeight="1">
      <c r="A135" s="297" t="s">
        <v>2290</v>
      </c>
      <c r="B135" s="297" t="s">
        <v>4901</v>
      </c>
      <c r="C135" s="297" t="s">
        <v>4901</v>
      </c>
      <c r="D135" s="297" t="s">
        <v>2124</v>
      </c>
      <c r="E135" s="297" t="s">
        <v>4902</v>
      </c>
      <c r="F135" s="297" t="s">
        <v>3060</v>
      </c>
      <c r="G135" s="297"/>
      <c r="H135" s="297" t="s">
        <v>4919</v>
      </c>
      <c r="I135" s="297" t="s">
        <v>4920</v>
      </c>
      <c r="J135" s="45" t="str">
        <f t="shared" si="4"/>
        <v>GoldMorris and Watson Gold Coast</v>
      </c>
      <c r="K135" s="45" t="str">
        <f t="shared" si="5"/>
        <v>GoldMorris and Watson Gold Coast</v>
      </c>
      <c r="L135" s="243"/>
    </row>
    <row r="136" spans="1:12" ht="10.5" customHeight="1">
      <c r="A136" s="297" t="s">
        <v>2290</v>
      </c>
      <c r="B136" s="297" t="s">
        <v>1764</v>
      </c>
      <c r="C136" s="297" t="s">
        <v>1764</v>
      </c>
      <c r="D136" s="297" t="s">
        <v>1690</v>
      </c>
      <c r="E136" s="297" t="s">
        <v>1275</v>
      </c>
      <c r="F136" s="297" t="s">
        <v>3060</v>
      </c>
      <c r="G136" s="297"/>
      <c r="H136" s="297" t="s">
        <v>3184</v>
      </c>
      <c r="I136" s="297" t="s">
        <v>3229</v>
      </c>
      <c r="J136" s="45" t="str">
        <f t="shared" si="4"/>
        <v>GoldMoscow Special Alloys Processing Plant</v>
      </c>
      <c r="K136" s="45" t="str">
        <f t="shared" si="5"/>
        <v>GoldMoscow Special Alloys Processing Plant</v>
      </c>
      <c r="L136" s="243"/>
    </row>
    <row r="137" spans="1:12" ht="10.5" customHeight="1">
      <c r="A137" s="297" t="s">
        <v>2290</v>
      </c>
      <c r="B137" s="297" t="s">
        <v>2427</v>
      </c>
      <c r="C137" s="297" t="s">
        <v>2427</v>
      </c>
      <c r="D137" s="297" t="s">
        <v>1724</v>
      </c>
      <c r="E137" s="297" t="s">
        <v>1276</v>
      </c>
      <c r="F137" s="297" t="s">
        <v>3060</v>
      </c>
      <c r="G137" s="297"/>
      <c r="H137" s="297" t="s">
        <v>3185</v>
      </c>
      <c r="I137" s="297" t="s">
        <v>3079</v>
      </c>
      <c r="J137" s="45" t="str">
        <f t="shared" si="4"/>
        <v>GoldNadir Metal Rafineri San. Ve Tic. A.Ş.</v>
      </c>
      <c r="K137" s="45" t="str">
        <f t="shared" si="5"/>
        <v>GoldNadir Metal Rafineri San. Ve Tic. A.Ş.</v>
      </c>
      <c r="L137" s="243"/>
    </row>
    <row r="138" spans="1:12" ht="10.5" customHeight="1">
      <c r="A138" s="297" t="s">
        <v>2290</v>
      </c>
      <c r="B138" s="297" t="s">
        <v>2422</v>
      </c>
      <c r="C138" s="297" t="s">
        <v>2422</v>
      </c>
      <c r="D138" s="297" t="s">
        <v>1731</v>
      </c>
      <c r="E138" s="297" t="s">
        <v>1277</v>
      </c>
      <c r="F138" s="297" t="s">
        <v>3060</v>
      </c>
      <c r="G138" s="297"/>
      <c r="H138" s="297" t="s">
        <v>3186</v>
      </c>
      <c r="I138" s="297" t="s">
        <v>3187</v>
      </c>
      <c r="J138" s="45" t="str">
        <f t="shared" si="4"/>
        <v>GoldNavoi Mining and Metallurgical Combinat</v>
      </c>
      <c r="K138" s="45" t="str">
        <f t="shared" si="5"/>
        <v>GoldNavoi Mining and Metallurgical Combinat</v>
      </c>
      <c r="L138" s="243"/>
    </row>
    <row r="139" spans="1:12" ht="10.5" customHeight="1">
      <c r="A139" s="297" t="s">
        <v>2290</v>
      </c>
      <c r="B139" s="297" t="s">
        <v>4054</v>
      </c>
      <c r="C139" s="297" t="s">
        <v>4054</v>
      </c>
      <c r="D139" s="297" t="s">
        <v>2217</v>
      </c>
      <c r="E139" s="297" t="s">
        <v>1278</v>
      </c>
      <c r="F139" s="297" t="s">
        <v>3060</v>
      </c>
      <c r="G139" s="297"/>
      <c r="H139" s="297" t="s">
        <v>3188</v>
      </c>
      <c r="I139" s="297" t="s">
        <v>3189</v>
      </c>
      <c r="J139" s="45" t="str">
        <f t="shared" si="4"/>
        <v>GoldNihon Material Co., Ltd.</v>
      </c>
      <c r="K139" s="45" t="str">
        <f t="shared" si="5"/>
        <v>GoldNihon Material Co., Ltd.</v>
      </c>
      <c r="L139" s="243"/>
    </row>
    <row r="140" spans="1:12" ht="10.5" customHeight="1">
      <c r="A140" s="297" t="s">
        <v>2290</v>
      </c>
      <c r="B140" s="297" t="s">
        <v>3083</v>
      </c>
      <c r="C140" s="297" t="s">
        <v>2415</v>
      </c>
      <c r="D140" s="297" t="s">
        <v>2164</v>
      </c>
      <c r="E140" s="297" t="s">
        <v>1220</v>
      </c>
      <c r="F140" s="297" t="s">
        <v>3060</v>
      </c>
      <c r="G140" s="297"/>
      <c r="H140" s="297" t="s">
        <v>3081</v>
      </c>
      <c r="I140" s="297" t="s">
        <v>3082</v>
      </c>
      <c r="J140" s="45" t="str">
        <f t="shared" si="4"/>
        <v>GoldNorddeutsche Affinererie AG</v>
      </c>
      <c r="K140" s="45" t="str">
        <f t="shared" si="5"/>
        <v>GoldNorddeutsche Affinererie AG</v>
      </c>
      <c r="L140" s="243"/>
    </row>
    <row r="141" spans="1:12" ht="10.5" customHeight="1">
      <c r="A141" s="297" t="s">
        <v>2290</v>
      </c>
      <c r="B141" s="297" t="s">
        <v>4157</v>
      </c>
      <c r="C141" s="297" t="s">
        <v>4157</v>
      </c>
      <c r="D141" s="297" t="s">
        <v>2125</v>
      </c>
      <c r="E141" s="297" t="s">
        <v>4160</v>
      </c>
      <c r="F141" s="297" t="s">
        <v>3060</v>
      </c>
      <c r="G141" s="297"/>
      <c r="H141" s="297" t="s">
        <v>4161</v>
      </c>
      <c r="I141" s="297" t="s">
        <v>4161</v>
      </c>
      <c r="J141" s="45" t="str">
        <f t="shared" si="4"/>
        <v>GoldÖgussa Österreichische Gold- und Silber-Scheideanstalt GmbH</v>
      </c>
      <c r="K141" s="45" t="str">
        <f t="shared" si="5"/>
        <v>GoldÖgussa Österreichische Gold- und Silber-Scheideanstalt GmbH</v>
      </c>
      <c r="L141" s="243"/>
    </row>
    <row r="142" spans="1:12" ht="10.5" customHeight="1">
      <c r="A142" s="297" t="s">
        <v>2290</v>
      </c>
      <c r="B142" s="297" t="s">
        <v>75</v>
      </c>
      <c r="C142" s="297" t="s">
        <v>4153</v>
      </c>
      <c r="D142" s="297" t="s">
        <v>4880</v>
      </c>
      <c r="E142" s="297" t="s">
        <v>1279</v>
      </c>
      <c r="F142" s="297" t="s">
        <v>3060</v>
      </c>
      <c r="G142" s="297"/>
      <c r="H142" s="297" t="s">
        <v>3190</v>
      </c>
      <c r="I142" s="297" t="s">
        <v>3191</v>
      </c>
      <c r="J142" s="45" t="str">
        <f t="shared" si="4"/>
        <v>GoldOhio Precious Metals, LLC</v>
      </c>
      <c r="K142" s="45" t="str">
        <f t="shared" si="5"/>
        <v>GoldOhio Precious Metals, LLC</v>
      </c>
      <c r="L142" s="243"/>
    </row>
    <row r="143" spans="1:12" ht="10.5" customHeight="1">
      <c r="A143" s="297" t="s">
        <v>2290</v>
      </c>
      <c r="B143" s="297" t="s">
        <v>4055</v>
      </c>
      <c r="C143" s="297" t="s">
        <v>4055</v>
      </c>
      <c r="D143" s="297" t="s">
        <v>2217</v>
      </c>
      <c r="E143" s="297" t="s">
        <v>1280</v>
      </c>
      <c r="F143" s="297" t="s">
        <v>3060</v>
      </c>
      <c r="G143" s="297"/>
      <c r="H143" s="297" t="s">
        <v>3192</v>
      </c>
      <c r="I143" s="297" t="s">
        <v>3193</v>
      </c>
      <c r="J143" s="45" t="str">
        <f t="shared" si="4"/>
        <v>GoldOhura Precious Metal Industry Co., Ltd.</v>
      </c>
      <c r="K143" s="45" t="str">
        <f t="shared" si="5"/>
        <v>GoldOhura Precious Metal Industry Co., Ltd.</v>
      </c>
      <c r="L143" s="243"/>
    </row>
    <row r="144" spans="1:12" ht="10.5" customHeight="1">
      <c r="A144" s="297" t="s">
        <v>2290</v>
      </c>
      <c r="B144" s="297" t="s">
        <v>4226</v>
      </c>
      <c r="C144" s="297" t="s">
        <v>4226</v>
      </c>
      <c r="D144" s="297" t="s">
        <v>1690</v>
      </c>
      <c r="E144" s="297" t="s">
        <v>1281</v>
      </c>
      <c r="F144" s="297" t="s">
        <v>3060</v>
      </c>
      <c r="G144" s="297"/>
      <c r="H144" s="297" t="s">
        <v>3194</v>
      </c>
      <c r="I144" s="297" t="s">
        <v>3195</v>
      </c>
      <c r="J144" s="45" t="str">
        <f t="shared" si="4"/>
        <v>GoldOJSC "The Gulidov Krasnoyarsk Non-Ferrous Metals Plant" (OJSC Krastsvetmet)</v>
      </c>
      <c r="K144" s="45" t="str">
        <f t="shared" si="5"/>
        <v>GoldOJSC "The Gulidov Krasnoyarsk Non-Ferrous Metals Plant" (OJSC Krastsvetmet)</v>
      </c>
      <c r="L144" s="243"/>
    </row>
    <row r="145" spans="1:12" ht="10.5" customHeight="1">
      <c r="A145" s="297" t="s">
        <v>2290</v>
      </c>
      <c r="B145" s="297" t="s">
        <v>3196</v>
      </c>
      <c r="C145" s="297" t="s">
        <v>4226</v>
      </c>
      <c r="D145" s="297" t="s">
        <v>1690</v>
      </c>
      <c r="E145" s="297" t="s">
        <v>1281</v>
      </c>
      <c r="F145" s="297" t="s">
        <v>3060</v>
      </c>
      <c r="G145" s="297"/>
      <c r="H145" s="297" t="s">
        <v>3194</v>
      </c>
      <c r="I145" s="297" t="s">
        <v>3195</v>
      </c>
      <c r="J145" s="45" t="str">
        <f t="shared" si="4"/>
        <v>GoldOJSC Krastsvetmet</v>
      </c>
      <c r="K145" s="45" t="str">
        <f t="shared" si="5"/>
        <v>GoldOJSC Krastsvetmet</v>
      </c>
      <c r="L145" s="243"/>
    </row>
    <row r="146" spans="1:12" ht="10.5" customHeight="1">
      <c r="A146" s="297" t="s">
        <v>2290</v>
      </c>
      <c r="B146" s="297" t="s">
        <v>4150</v>
      </c>
      <c r="C146" s="297" t="s">
        <v>4150</v>
      </c>
      <c r="D146" s="297" t="s">
        <v>1690</v>
      </c>
      <c r="E146" s="297" t="s">
        <v>1237</v>
      </c>
      <c r="F146" s="297" t="s">
        <v>3060</v>
      </c>
      <c r="G146" s="297"/>
      <c r="H146" s="297" t="s">
        <v>3115</v>
      </c>
      <c r="I146" s="297" t="s">
        <v>4227</v>
      </c>
      <c r="J146" s="45" t="str">
        <f t="shared" si="4"/>
        <v>GoldOJSC Novosibirsk Refinery</v>
      </c>
      <c r="K146" s="45" t="str">
        <f t="shared" si="5"/>
        <v>GoldOJSC Novosibirsk Refinery</v>
      </c>
      <c r="L146" s="243"/>
    </row>
    <row r="147" spans="1:12" ht="10.5" customHeight="1">
      <c r="A147" s="297" t="s">
        <v>2290</v>
      </c>
      <c r="B147" s="297" t="s">
        <v>2539</v>
      </c>
      <c r="C147" s="297" t="s">
        <v>4153</v>
      </c>
      <c r="D147" s="297" t="s">
        <v>4880</v>
      </c>
      <c r="E147" s="297" t="s">
        <v>1279</v>
      </c>
      <c r="F147" s="297" t="s">
        <v>3060</v>
      </c>
      <c r="G147" s="297"/>
      <c r="H147" s="297" t="s">
        <v>3190</v>
      </c>
      <c r="I147" s="297" t="s">
        <v>3191</v>
      </c>
      <c r="J147" s="45" t="str">
        <f t="shared" si="4"/>
        <v>GoldOPM</v>
      </c>
      <c r="K147" s="45" t="str">
        <f t="shared" si="5"/>
        <v>GoldOPM</v>
      </c>
      <c r="L147" s="243"/>
    </row>
    <row r="148" spans="1:12" ht="10.5" customHeight="1">
      <c r="A148" s="297" t="s">
        <v>2290</v>
      </c>
      <c r="B148" s="297" t="s">
        <v>4578</v>
      </c>
      <c r="C148" s="297" t="s">
        <v>4578</v>
      </c>
      <c r="D148" s="297" t="s">
        <v>2148</v>
      </c>
      <c r="E148" s="297" t="s">
        <v>1282</v>
      </c>
      <c r="F148" s="297" t="s">
        <v>3060</v>
      </c>
      <c r="G148" s="297"/>
      <c r="H148" s="297" t="s">
        <v>3197</v>
      </c>
      <c r="I148" s="297" t="s">
        <v>3073</v>
      </c>
      <c r="J148" s="45" t="str">
        <f t="shared" si="4"/>
        <v>GoldPAMP S.A.</v>
      </c>
      <c r="K148" s="45" t="str">
        <f t="shared" si="5"/>
        <v>GoldPAMP S.A.</v>
      </c>
      <c r="L148" s="243"/>
    </row>
    <row r="149" spans="1:12" ht="10.5" customHeight="1">
      <c r="A149" s="297" t="s">
        <v>2290</v>
      </c>
      <c r="B149" s="297" t="s">
        <v>4182</v>
      </c>
      <c r="C149" s="297" t="s">
        <v>72</v>
      </c>
      <c r="D149" s="297" t="s">
        <v>2217</v>
      </c>
      <c r="E149" s="297" t="s">
        <v>1255</v>
      </c>
      <c r="F149" s="297" t="s">
        <v>3060</v>
      </c>
      <c r="G149" s="297"/>
      <c r="H149" s="297" t="s">
        <v>4708</v>
      </c>
      <c r="I149" s="297" t="s">
        <v>4708</v>
      </c>
      <c r="J149" s="45" t="str">
        <f t="shared" si="4"/>
        <v>GoldPan Pacific Copper Co Ltd.</v>
      </c>
      <c r="K149" s="45" t="str">
        <f t="shared" si="5"/>
        <v>GoldPan Pacific Copper Co Ltd.</v>
      </c>
      <c r="L149" s="243"/>
    </row>
    <row r="150" spans="1:12" ht="10.5" customHeight="1">
      <c r="A150" s="297" t="s">
        <v>2290</v>
      </c>
      <c r="B150" s="297" t="s">
        <v>4903</v>
      </c>
      <c r="C150" s="297" t="s">
        <v>4903</v>
      </c>
      <c r="D150" s="297" t="s">
        <v>4880</v>
      </c>
      <c r="E150" s="297" t="s">
        <v>4904</v>
      </c>
      <c r="F150" s="297" t="s">
        <v>3060</v>
      </c>
      <c r="G150" s="297"/>
      <c r="H150" s="297" t="s">
        <v>3061</v>
      </c>
      <c r="I150" s="297" t="s">
        <v>3062</v>
      </c>
      <c r="J150" s="45" t="str">
        <f t="shared" si="4"/>
        <v>GoldPease &amp; Curren</v>
      </c>
      <c r="K150" s="45" t="str">
        <f t="shared" si="5"/>
        <v>GoldPease &amp; Curren</v>
      </c>
      <c r="L150" s="243"/>
    </row>
    <row r="151" spans="1:12" ht="10.5" customHeight="1">
      <c r="A151" s="297" t="s">
        <v>2290</v>
      </c>
      <c r="B151" s="297" t="s">
        <v>4056</v>
      </c>
      <c r="C151" s="297" t="s">
        <v>4056</v>
      </c>
      <c r="D151" s="297" t="s">
        <v>2150</v>
      </c>
      <c r="E151" s="297" t="s">
        <v>1283</v>
      </c>
      <c r="F151" s="297" t="s">
        <v>3060</v>
      </c>
      <c r="G151" s="297"/>
      <c r="H151" s="297" t="s">
        <v>4988</v>
      </c>
      <c r="I151" s="297" t="s">
        <v>3199</v>
      </c>
      <c r="J151" s="45" t="str">
        <f t="shared" si="4"/>
        <v>GoldPenglai Penggang Gold Industry Co., Ltd.</v>
      </c>
      <c r="K151" s="45" t="str">
        <f t="shared" si="5"/>
        <v>GoldPenglai Penggang Gold Industry Co., Ltd.</v>
      </c>
      <c r="L151" s="243"/>
    </row>
    <row r="152" spans="1:12" ht="10.5" customHeight="1">
      <c r="A152" s="297" t="s">
        <v>2290</v>
      </c>
      <c r="B152" s="297" t="s">
        <v>4183</v>
      </c>
      <c r="C152" s="297" t="s">
        <v>2289</v>
      </c>
      <c r="D152" s="297" t="s">
        <v>2124</v>
      </c>
      <c r="E152" s="297" t="s">
        <v>1309</v>
      </c>
      <c r="F152" s="297" t="s">
        <v>3060</v>
      </c>
      <c r="G152" s="297"/>
      <c r="H152" s="297" t="s">
        <v>3253</v>
      </c>
      <c r="I152" s="297" t="s">
        <v>3254</v>
      </c>
      <c r="J152" s="45" t="str">
        <f t="shared" si="4"/>
        <v>GoldPerth Mint</v>
      </c>
      <c r="K152" s="45" t="str">
        <f t="shared" si="5"/>
        <v>GoldPerth Mint</v>
      </c>
      <c r="L152" s="243"/>
    </row>
    <row r="153" spans="1:12" ht="10.5" customHeight="1">
      <c r="A153" s="297" t="s">
        <v>2290</v>
      </c>
      <c r="B153" s="297" t="s">
        <v>3258</v>
      </c>
      <c r="C153" s="297" t="s">
        <v>2289</v>
      </c>
      <c r="D153" s="297" t="s">
        <v>2124</v>
      </c>
      <c r="E153" s="297" t="s">
        <v>1309</v>
      </c>
      <c r="F153" s="297" t="s">
        <v>3060</v>
      </c>
      <c r="G153" s="297"/>
      <c r="H153" s="297" t="s">
        <v>3253</v>
      </c>
      <c r="I153" s="297" t="s">
        <v>3254</v>
      </c>
      <c r="J153" s="45" t="str">
        <f t="shared" si="4"/>
        <v>GoldPerth Mint (ANZ)</v>
      </c>
      <c r="K153" s="45" t="str">
        <f t="shared" si="5"/>
        <v>GoldPerth Mint (ANZ)</v>
      </c>
      <c r="L153" s="243"/>
    </row>
    <row r="154" spans="1:12" ht="10.5" customHeight="1">
      <c r="A154" s="297" t="s">
        <v>2290</v>
      </c>
      <c r="B154" s="297" t="s">
        <v>1765</v>
      </c>
      <c r="C154" s="297" t="s">
        <v>1765</v>
      </c>
      <c r="D154" s="297" t="s">
        <v>1690</v>
      </c>
      <c r="E154" s="297" t="s">
        <v>1284</v>
      </c>
      <c r="F154" s="297" t="s">
        <v>3060</v>
      </c>
      <c r="G154" s="297"/>
      <c r="H154" s="297" t="s">
        <v>3200</v>
      </c>
      <c r="I154" s="297" t="s">
        <v>3201</v>
      </c>
      <c r="J154" s="45" t="str">
        <f t="shared" si="4"/>
        <v>GoldPrioksky Plant of Non-Ferrous Metals</v>
      </c>
      <c r="K154" s="45" t="str">
        <f t="shared" si="5"/>
        <v>GoldPrioksky Plant of Non-Ferrous Metals</v>
      </c>
      <c r="L154" s="243"/>
    </row>
    <row r="155" spans="1:12" ht="10.5" customHeight="1">
      <c r="A155" s="297" t="s">
        <v>2290</v>
      </c>
      <c r="B155" s="297" t="s">
        <v>4184</v>
      </c>
      <c r="C155" s="297" t="s">
        <v>4578</v>
      </c>
      <c r="D155" s="297" t="s">
        <v>2148</v>
      </c>
      <c r="E155" s="297" t="s">
        <v>1282</v>
      </c>
      <c r="F155" s="297" t="s">
        <v>3060</v>
      </c>
      <c r="G155" s="297"/>
      <c r="H155" s="297" t="s">
        <v>3197</v>
      </c>
      <c r="I155" s="297" t="s">
        <v>3073</v>
      </c>
      <c r="J155" s="45" t="str">
        <f t="shared" si="4"/>
        <v>GoldProduits Artistiques de Métaux</v>
      </c>
      <c r="K155" s="45" t="str">
        <f t="shared" si="5"/>
        <v>GoldProduits Artistiques de Métaux</v>
      </c>
      <c r="L155" s="243"/>
    </row>
    <row r="156" spans="1:12" ht="10.5" customHeight="1">
      <c r="A156" s="297" t="s">
        <v>2290</v>
      </c>
      <c r="B156" s="297" t="s">
        <v>2423</v>
      </c>
      <c r="C156" s="297" t="s">
        <v>2423</v>
      </c>
      <c r="D156" s="297" t="s">
        <v>2206</v>
      </c>
      <c r="E156" s="297" t="s">
        <v>1285</v>
      </c>
      <c r="F156" s="297" t="s">
        <v>3060</v>
      </c>
      <c r="G156" s="297"/>
      <c r="H156" s="297" t="s">
        <v>3202</v>
      </c>
      <c r="I156" s="297" t="s">
        <v>3203</v>
      </c>
      <c r="J156" s="45" t="str">
        <f t="shared" si="4"/>
        <v>GoldPT Aneka Tambang (Persero) Tbk</v>
      </c>
      <c r="K156" s="45" t="str">
        <f t="shared" si="5"/>
        <v>GoldPT Aneka Tambang (Persero) Tbk</v>
      </c>
      <c r="L156" s="243"/>
    </row>
    <row r="157" spans="1:12" ht="10.5" customHeight="1">
      <c r="A157" s="297" t="s">
        <v>2290</v>
      </c>
      <c r="B157" s="297" t="s">
        <v>4579</v>
      </c>
      <c r="C157" s="297" t="s">
        <v>4579</v>
      </c>
      <c r="D157" s="297" t="s">
        <v>2148</v>
      </c>
      <c r="E157" s="297" t="s">
        <v>1286</v>
      </c>
      <c r="F157" s="297" t="s">
        <v>3060</v>
      </c>
      <c r="G157" s="297"/>
      <c r="H157" s="297" t="s">
        <v>3204</v>
      </c>
      <c r="I157" s="297" t="s">
        <v>3175</v>
      </c>
      <c r="J157" s="45" t="str">
        <f t="shared" si="4"/>
        <v>GoldPX Précinox S.A.</v>
      </c>
      <c r="K157" s="45" t="str">
        <f t="shared" si="5"/>
        <v>GoldPX Précinox S.A.</v>
      </c>
      <c r="L157" s="243"/>
    </row>
    <row r="158" spans="1:12" ht="10.5" customHeight="1">
      <c r="A158" s="297" t="s">
        <v>2290</v>
      </c>
      <c r="B158" s="297" t="s">
        <v>4058</v>
      </c>
      <c r="C158" s="297" t="s">
        <v>4058</v>
      </c>
      <c r="D158" s="297" t="s">
        <v>1743</v>
      </c>
      <c r="E158" s="297" t="s">
        <v>1287</v>
      </c>
      <c r="F158" s="297" t="s">
        <v>3060</v>
      </c>
      <c r="G158" s="297"/>
      <c r="H158" s="297" t="s">
        <v>3205</v>
      </c>
      <c r="I158" s="297" t="s">
        <v>3206</v>
      </c>
      <c r="J158" s="45" t="str">
        <f t="shared" si="4"/>
        <v>GoldRand Refinery (Pty) Ltd.</v>
      </c>
      <c r="K158" s="45" t="str">
        <f t="shared" si="5"/>
        <v>GoldRand Refinery (Pty) Ltd.</v>
      </c>
      <c r="L158" s="243"/>
    </row>
    <row r="159" spans="1:12" ht="10.5" customHeight="1">
      <c r="A159" s="297" t="s">
        <v>2290</v>
      </c>
      <c r="B159" s="297" t="s">
        <v>40</v>
      </c>
      <c r="C159" s="297" t="s">
        <v>73</v>
      </c>
      <c r="D159" s="297" t="s">
        <v>4876</v>
      </c>
      <c r="E159" s="297" t="s">
        <v>1263</v>
      </c>
      <c r="F159" s="297" t="s">
        <v>3060</v>
      </c>
      <c r="G159" s="297"/>
      <c r="H159" s="297" t="s">
        <v>3160</v>
      </c>
      <c r="I159" s="297" t="s">
        <v>3161</v>
      </c>
      <c r="J159" s="45" t="str">
        <f t="shared" si="4"/>
        <v>GoldRefinery LS-Nikko Copper Inc.</v>
      </c>
      <c r="K159" s="45" t="str">
        <f t="shared" si="5"/>
        <v>GoldRefinery LS-Nikko Copper Inc.</v>
      </c>
      <c r="L159" s="243"/>
    </row>
    <row r="160" spans="1:12" ht="10.5" customHeight="1">
      <c r="A160" s="297" t="s">
        <v>2290</v>
      </c>
      <c r="B160" s="297" t="s">
        <v>4580</v>
      </c>
      <c r="C160" s="297" t="s">
        <v>4580</v>
      </c>
      <c r="D160" s="297" t="s">
        <v>2265</v>
      </c>
      <c r="E160" s="297" t="s">
        <v>4581</v>
      </c>
      <c r="F160" s="297" t="s">
        <v>3060</v>
      </c>
      <c r="G160" s="297"/>
      <c r="H160" s="297" t="s">
        <v>4631</v>
      </c>
      <c r="I160" s="297" t="s">
        <v>4632</v>
      </c>
      <c r="J160" s="45" t="str">
        <f t="shared" si="4"/>
        <v>GoldRemondis Argentia B.V.</v>
      </c>
      <c r="K160" s="45" t="str">
        <f t="shared" si="5"/>
        <v>GoldRemondis Argentia B.V.</v>
      </c>
      <c r="L160" s="243"/>
    </row>
    <row r="161" spans="1:12" ht="10.5" customHeight="1">
      <c r="A161" s="297" t="s">
        <v>2290</v>
      </c>
      <c r="B161" s="297" t="s">
        <v>2644</v>
      </c>
      <c r="C161" s="297" t="s">
        <v>2644</v>
      </c>
      <c r="D161" s="297" t="s">
        <v>4880</v>
      </c>
      <c r="E161" s="297" t="s">
        <v>2645</v>
      </c>
      <c r="F161" s="297" t="s">
        <v>3060</v>
      </c>
      <c r="G161" s="297"/>
      <c r="H161" s="297" t="s">
        <v>3278</v>
      </c>
      <c r="I161" s="297" t="s">
        <v>3279</v>
      </c>
      <c r="J161" s="45" t="str">
        <f t="shared" si="4"/>
        <v>GoldRepublic Metals Corporation</v>
      </c>
      <c r="K161" s="45" t="str">
        <f t="shared" si="5"/>
        <v>GoldRepublic Metals Corporation</v>
      </c>
      <c r="L161" s="243"/>
    </row>
    <row r="162" spans="1:12" ht="10.5" customHeight="1">
      <c r="A162" s="297" t="s">
        <v>2290</v>
      </c>
      <c r="B162" s="297" t="s">
        <v>1766</v>
      </c>
      <c r="C162" s="297" t="s">
        <v>1766</v>
      </c>
      <c r="D162" s="297" t="s">
        <v>2146</v>
      </c>
      <c r="E162" s="297" t="s">
        <v>1288</v>
      </c>
      <c r="F162" s="297" t="s">
        <v>3060</v>
      </c>
      <c r="G162" s="297"/>
      <c r="H162" s="297" t="s">
        <v>3207</v>
      </c>
      <c r="I162" s="297" t="s">
        <v>3145</v>
      </c>
      <c r="J162" s="45" t="str">
        <f t="shared" si="4"/>
        <v>GoldRoyal Canadian Mint</v>
      </c>
      <c r="K162" s="45" t="str">
        <f t="shared" si="5"/>
        <v>GoldRoyal Canadian Mint</v>
      </c>
      <c r="L162" s="243"/>
    </row>
    <row r="163" spans="1:12" ht="10.5" customHeight="1">
      <c r="A163" s="297" t="s">
        <v>2290</v>
      </c>
      <c r="B163" s="297" t="s">
        <v>4228</v>
      </c>
      <c r="C163" s="297" t="s">
        <v>4228</v>
      </c>
      <c r="D163" s="297" t="s">
        <v>2180</v>
      </c>
      <c r="E163" s="297" t="s">
        <v>4229</v>
      </c>
      <c r="F163" s="297" t="s">
        <v>3060</v>
      </c>
      <c r="G163" s="297"/>
      <c r="H163" s="297" t="s">
        <v>4230</v>
      </c>
      <c r="I163" s="297" t="s">
        <v>4231</v>
      </c>
      <c r="J163" s="45" t="str">
        <f t="shared" si="4"/>
        <v>GoldSAAMP</v>
      </c>
      <c r="K163" s="45" t="str">
        <f t="shared" si="5"/>
        <v>GoldSAAMP</v>
      </c>
      <c r="L163" s="243"/>
    </row>
    <row r="164" spans="1:12" ht="10.5" customHeight="1">
      <c r="A164" s="297" t="s">
        <v>2290</v>
      </c>
      <c r="B164" s="297" t="s">
        <v>2339</v>
      </c>
      <c r="C164" s="297" t="s">
        <v>2339</v>
      </c>
      <c r="D164" s="297" t="s">
        <v>4880</v>
      </c>
      <c r="E164" s="297" t="s">
        <v>1289</v>
      </c>
      <c r="F164" s="297" t="s">
        <v>3060</v>
      </c>
      <c r="G164" s="297"/>
      <c r="H164" s="297" t="s">
        <v>3208</v>
      </c>
      <c r="I164" s="297" t="s">
        <v>3209</v>
      </c>
      <c r="J164" s="45" t="str">
        <f t="shared" si="4"/>
        <v>GoldSabin Metal Corp.</v>
      </c>
      <c r="K164" s="45" t="str">
        <f t="shared" si="5"/>
        <v>GoldSabin Metal Corp.</v>
      </c>
      <c r="L164" s="243"/>
    </row>
    <row r="165" spans="1:12" ht="10.5" customHeight="1">
      <c r="A165" s="297" t="s">
        <v>2290</v>
      </c>
      <c r="B165" s="297" t="s">
        <v>4582</v>
      </c>
      <c r="C165" s="297" t="s">
        <v>4582</v>
      </c>
      <c r="D165" s="297" t="s">
        <v>2163</v>
      </c>
      <c r="E165" s="297" t="s">
        <v>4583</v>
      </c>
      <c r="F165" s="297" t="s">
        <v>3060</v>
      </c>
      <c r="G165" s="297"/>
      <c r="H165" s="297" t="s">
        <v>4584</v>
      </c>
      <c r="I165" s="297" t="s">
        <v>3283</v>
      </c>
      <c r="J165" s="45" t="str">
        <f t="shared" si="4"/>
        <v>GoldSAFINA A.S.</v>
      </c>
      <c r="K165" s="45" t="str">
        <f t="shared" si="5"/>
        <v>GoldSAFINA A.S.</v>
      </c>
      <c r="L165" s="243"/>
    </row>
    <row r="166" spans="1:12" ht="10.5" customHeight="1">
      <c r="A166" s="297" t="s">
        <v>2290</v>
      </c>
      <c r="B166" s="297" t="s">
        <v>4565</v>
      </c>
      <c r="C166" s="297" t="s">
        <v>72</v>
      </c>
      <c r="D166" s="297" t="s">
        <v>2217</v>
      </c>
      <c r="E166" s="297" t="s">
        <v>1255</v>
      </c>
      <c r="F166" s="297" t="s">
        <v>3060</v>
      </c>
      <c r="G166" s="297"/>
      <c r="H166" s="297" t="s">
        <v>4708</v>
      </c>
      <c r="I166" s="297" t="s">
        <v>4708</v>
      </c>
      <c r="J166" s="45" t="str">
        <f t="shared" si="4"/>
        <v>GoldSaganoseki Smelter &amp; Refinery</v>
      </c>
      <c r="K166" s="45" t="str">
        <f t="shared" si="5"/>
        <v>GoldSaganoseki Smelter &amp; Refinery</v>
      </c>
      <c r="L166" s="243"/>
    </row>
    <row r="167" spans="1:12" ht="10.5" customHeight="1">
      <c r="A167" s="297" t="s">
        <v>2290</v>
      </c>
      <c r="B167" s="297" t="s">
        <v>4585</v>
      </c>
      <c r="C167" s="297" t="s">
        <v>4585</v>
      </c>
      <c r="D167" s="297" t="s">
        <v>2207</v>
      </c>
      <c r="E167" s="297" t="s">
        <v>4586</v>
      </c>
      <c r="F167" s="297" t="s">
        <v>3060</v>
      </c>
      <c r="G167" s="297"/>
      <c r="H167" s="297" t="s">
        <v>4587</v>
      </c>
      <c r="I167" s="297" t="s">
        <v>4588</v>
      </c>
      <c r="J167" s="45" t="str">
        <f t="shared" si="4"/>
        <v>GoldSai Refinery</v>
      </c>
      <c r="K167" s="45" t="str">
        <f t="shared" si="5"/>
        <v>GoldSai Refinery</v>
      </c>
      <c r="L167" s="243"/>
    </row>
    <row r="168" spans="1:12" ht="10.5" customHeight="1">
      <c r="A168" s="297" t="s">
        <v>2290</v>
      </c>
      <c r="B168" s="297" t="s">
        <v>3210</v>
      </c>
      <c r="C168" s="297" t="s">
        <v>2678</v>
      </c>
      <c r="D168" s="297" t="s">
        <v>4876</v>
      </c>
      <c r="E168" s="297" t="s">
        <v>2679</v>
      </c>
      <c r="F168" s="297" t="s">
        <v>3060</v>
      </c>
      <c r="G168" s="297"/>
      <c r="H168" s="297" t="s">
        <v>3101</v>
      </c>
      <c r="I168" s="297" t="s">
        <v>3102</v>
      </c>
      <c r="J168" s="45" t="str">
        <f t="shared" si="4"/>
        <v>GoldSamdok Metal</v>
      </c>
      <c r="K168" s="45" t="str">
        <f t="shared" si="5"/>
        <v>GoldSamdok Metal</v>
      </c>
      <c r="L168" s="243"/>
    </row>
    <row r="169" spans="1:12" ht="10.5" customHeight="1">
      <c r="A169" s="297" t="s">
        <v>2290</v>
      </c>
      <c r="B169" s="297" t="s">
        <v>2678</v>
      </c>
      <c r="C169" s="297" t="s">
        <v>2678</v>
      </c>
      <c r="D169" s="297" t="s">
        <v>4876</v>
      </c>
      <c r="E169" s="297" t="s">
        <v>2679</v>
      </c>
      <c r="F169" s="297" t="s">
        <v>3060</v>
      </c>
      <c r="G169" s="297"/>
      <c r="H169" s="297" t="s">
        <v>3101</v>
      </c>
      <c r="I169" s="297" t="s">
        <v>3102</v>
      </c>
      <c r="J169" s="45" t="str">
        <f t="shared" si="4"/>
        <v>GoldSamduck Precious Metals</v>
      </c>
      <c r="K169" s="45" t="str">
        <f t="shared" si="5"/>
        <v>GoldSamduck Precious Metals</v>
      </c>
      <c r="L169" s="243"/>
    </row>
    <row r="170" spans="1:12" ht="10.5" customHeight="1">
      <c r="A170" s="297" t="s">
        <v>2290</v>
      </c>
      <c r="B170" s="297" t="s">
        <v>4905</v>
      </c>
      <c r="C170" s="297" t="s">
        <v>4905</v>
      </c>
      <c r="D170" s="297" t="s">
        <v>4876</v>
      </c>
      <c r="E170" s="297" t="s">
        <v>1290</v>
      </c>
      <c r="F170" s="297" t="s">
        <v>3060</v>
      </c>
      <c r="G170" s="297"/>
      <c r="H170" s="297" t="s">
        <v>3212</v>
      </c>
      <c r="I170" s="297" t="s">
        <v>3213</v>
      </c>
      <c r="J170" s="45" t="str">
        <f t="shared" si="4"/>
        <v>GoldSamwon Metals Corp.</v>
      </c>
      <c r="K170" s="45" t="str">
        <f t="shared" si="5"/>
        <v>GoldSamwon Metals Corp.</v>
      </c>
      <c r="L170" s="243"/>
    </row>
    <row r="171" spans="1:12" ht="10.5" customHeight="1">
      <c r="A171" s="297" t="s">
        <v>2290</v>
      </c>
      <c r="B171" s="297" t="s">
        <v>4155</v>
      </c>
      <c r="C171" s="297" t="s">
        <v>4155</v>
      </c>
      <c r="D171" s="297" t="s">
        <v>2164</v>
      </c>
      <c r="E171" s="297" t="s">
        <v>4158</v>
      </c>
      <c r="F171" s="297" t="s">
        <v>3060</v>
      </c>
      <c r="G171" s="297"/>
      <c r="H171" s="297" t="s">
        <v>3393</v>
      </c>
      <c r="I171" s="297" t="s">
        <v>3394</v>
      </c>
      <c r="J171" s="45" t="str">
        <f t="shared" si="4"/>
        <v>GoldSAXONIA Edelmetalle GmbH</v>
      </c>
      <c r="K171" s="45" t="str">
        <f t="shared" si="5"/>
        <v>GoldSAXONIA Edelmetalle GmbH</v>
      </c>
      <c r="L171" s="243"/>
    </row>
    <row r="172" spans="1:12" ht="10.5" customHeight="1">
      <c r="A172" s="297" t="s">
        <v>2290</v>
      </c>
      <c r="B172" s="297" t="s">
        <v>4170</v>
      </c>
      <c r="C172" s="297" t="s">
        <v>4170</v>
      </c>
      <c r="D172" s="297" t="s">
        <v>2265</v>
      </c>
      <c r="E172" s="297" t="s">
        <v>1291</v>
      </c>
      <c r="F172" s="297" t="s">
        <v>3060</v>
      </c>
      <c r="G172" s="297"/>
      <c r="H172" s="297" t="s">
        <v>3214</v>
      </c>
      <c r="I172" s="297" t="s">
        <v>3215</v>
      </c>
      <c r="J172" s="45" t="str">
        <f t="shared" si="4"/>
        <v>GoldSchone Edelmetaal B.V.</v>
      </c>
      <c r="K172" s="45" t="str">
        <f t="shared" si="5"/>
        <v>GoldSchone Edelmetaal B.V.</v>
      </c>
      <c r="L172" s="243"/>
    </row>
    <row r="173" spans="1:12" ht="10.5" customHeight="1">
      <c r="A173" s="297" t="s">
        <v>2290</v>
      </c>
      <c r="B173" s="297" t="s">
        <v>3211</v>
      </c>
      <c r="C173" s="297" t="s">
        <v>2678</v>
      </c>
      <c r="D173" s="297" t="s">
        <v>4876</v>
      </c>
      <c r="E173" s="297" t="s">
        <v>2679</v>
      </c>
      <c r="F173" s="297" t="s">
        <v>3060</v>
      </c>
      <c r="G173" s="297"/>
      <c r="H173" s="297" t="s">
        <v>3101</v>
      </c>
      <c r="I173" s="297" t="s">
        <v>3102</v>
      </c>
      <c r="J173" s="45" t="str">
        <f t="shared" si="4"/>
        <v>GoldSD (Samdok) Metal</v>
      </c>
      <c r="K173" s="45" t="str">
        <f t="shared" si="5"/>
        <v>GoldSD (Samdok) Metal</v>
      </c>
      <c r="L173" s="243"/>
    </row>
    <row r="174" spans="1:12" ht="10.5" customHeight="1">
      <c r="A174" s="297" t="s">
        <v>2290</v>
      </c>
      <c r="B174" s="297" t="s">
        <v>4589</v>
      </c>
      <c r="C174" s="297" t="s">
        <v>4589</v>
      </c>
      <c r="D174" s="297" t="s">
        <v>2174</v>
      </c>
      <c r="E174" s="297" t="s">
        <v>1292</v>
      </c>
      <c r="F174" s="297" t="s">
        <v>3060</v>
      </c>
      <c r="G174" s="297"/>
      <c r="H174" s="297" t="s">
        <v>3216</v>
      </c>
      <c r="I174" s="297" t="s">
        <v>3217</v>
      </c>
      <c r="J174" s="45" t="str">
        <f t="shared" si="4"/>
        <v>GoldSEMPSA Joyería Platería S.A.</v>
      </c>
      <c r="K174" s="45" t="str">
        <f t="shared" si="5"/>
        <v>GoldSEMPSA Joyería Platería S.A.</v>
      </c>
      <c r="L174" s="243"/>
    </row>
    <row r="175" spans="1:12" ht="10.5" customHeight="1">
      <c r="A175" s="297" t="s">
        <v>2290</v>
      </c>
      <c r="B175" s="297" t="s">
        <v>3218</v>
      </c>
      <c r="C175" s="297" t="s">
        <v>4589</v>
      </c>
      <c r="D175" s="297" t="s">
        <v>2174</v>
      </c>
      <c r="E175" s="297" t="s">
        <v>1292</v>
      </c>
      <c r="F175" s="297" t="s">
        <v>3060</v>
      </c>
      <c r="G175" s="297"/>
      <c r="H175" s="297" t="s">
        <v>3216</v>
      </c>
      <c r="I175" s="297" t="s">
        <v>3217</v>
      </c>
      <c r="J175" s="45" t="str">
        <f t="shared" si="4"/>
        <v>GoldSempsa JP (Cookson Sempsa)</v>
      </c>
      <c r="K175" s="45" t="str">
        <f t="shared" si="5"/>
        <v>GoldSempsa JP (Cookson Sempsa)</v>
      </c>
      <c r="L175" s="243"/>
    </row>
    <row r="176" spans="1:12" ht="10.5" customHeight="1">
      <c r="A176" s="297" t="s">
        <v>2290</v>
      </c>
      <c r="B176" s="297" t="s">
        <v>3239</v>
      </c>
      <c r="C176" s="297" t="s">
        <v>4063</v>
      </c>
      <c r="D176" s="297" t="s">
        <v>2150</v>
      </c>
      <c r="E176" s="297" t="s">
        <v>1301</v>
      </c>
      <c r="F176" s="297" t="s">
        <v>3060</v>
      </c>
      <c r="G176" s="297"/>
      <c r="H176" s="297" t="s">
        <v>3221</v>
      </c>
      <c r="I176" s="297" t="s">
        <v>3199</v>
      </c>
      <c r="J176" s="45" t="str">
        <f t="shared" si="4"/>
        <v>GoldShandong Gold Mine(Laizhou) Smelter Co., Ltd.</v>
      </c>
      <c r="K176" s="45" t="str">
        <f t="shared" si="5"/>
        <v>GoldShandong Gold Mine(Laizhou) Smelter Co., Ltd.</v>
      </c>
      <c r="L176" s="243"/>
    </row>
    <row r="177" spans="1:12" ht="10.5" customHeight="1">
      <c r="A177" s="297" t="s">
        <v>2290</v>
      </c>
      <c r="B177" s="297" t="s">
        <v>4906</v>
      </c>
      <c r="C177" s="297" t="s">
        <v>3118</v>
      </c>
      <c r="D177" s="297" t="s">
        <v>2150</v>
      </c>
      <c r="E177" s="297" t="s">
        <v>3119</v>
      </c>
      <c r="F177" s="297" t="s">
        <v>3060</v>
      </c>
      <c r="G177" s="297"/>
      <c r="H177" s="297" t="s">
        <v>3120</v>
      </c>
      <c r="I177" s="297" t="s">
        <v>3199</v>
      </c>
      <c r="J177" s="45" t="str">
        <f t="shared" si="4"/>
        <v>GoldShandong Guoda Gold Co., Ltd.</v>
      </c>
      <c r="K177" s="45" t="str">
        <f t="shared" si="5"/>
        <v>GoldShandong Guoda Gold Co., Ltd.</v>
      </c>
      <c r="L177" s="243"/>
    </row>
    <row r="178" spans="1:12" ht="10.5" customHeight="1">
      <c r="A178" s="297" t="s">
        <v>2290</v>
      </c>
      <c r="B178" s="297" t="s">
        <v>3222</v>
      </c>
      <c r="C178" s="297" t="s">
        <v>3219</v>
      </c>
      <c r="D178" s="297" t="s">
        <v>2150</v>
      </c>
      <c r="E178" s="297" t="s">
        <v>3220</v>
      </c>
      <c r="F178" s="297" t="s">
        <v>3060</v>
      </c>
      <c r="G178" s="297"/>
      <c r="H178" s="297" t="s">
        <v>3221</v>
      </c>
      <c r="I178" s="297" t="s">
        <v>3198</v>
      </c>
      <c r="J178" s="45" t="str">
        <f t="shared" si="4"/>
        <v>GoldShandong Tarzan Bio-Gold Industry Co., Ltd.</v>
      </c>
      <c r="K178" s="45" t="str">
        <f t="shared" si="5"/>
        <v>GoldShandong Tarzan Bio-Gold Industry Co., Ltd.</v>
      </c>
      <c r="L178" s="243"/>
    </row>
    <row r="179" spans="1:12" ht="10.5" customHeight="1">
      <c r="A179" s="297" t="s">
        <v>2290</v>
      </c>
      <c r="B179" s="297" t="s">
        <v>3219</v>
      </c>
      <c r="C179" s="297" t="s">
        <v>3219</v>
      </c>
      <c r="D179" s="297" t="s">
        <v>2150</v>
      </c>
      <c r="E179" s="297" t="s">
        <v>3220</v>
      </c>
      <c r="F179" s="297" t="s">
        <v>3060</v>
      </c>
      <c r="G179" s="297"/>
      <c r="H179" s="297" t="s">
        <v>3221</v>
      </c>
      <c r="I179" s="297" t="s">
        <v>3198</v>
      </c>
      <c r="J179" s="45" t="str">
        <f t="shared" si="4"/>
        <v>GoldShandong Tiancheng Biological Gold Industrial Co., Ltd.</v>
      </c>
      <c r="K179" s="45" t="str">
        <f t="shared" si="5"/>
        <v>GoldShandong Tiancheng Biological Gold Industrial Co., Ltd.</v>
      </c>
      <c r="L179" s="243"/>
    </row>
    <row r="180" spans="1:12" ht="10.5" customHeight="1">
      <c r="A180" s="297" t="s">
        <v>2290</v>
      </c>
      <c r="B180" s="297" t="s">
        <v>4060</v>
      </c>
      <c r="C180" s="297" t="s">
        <v>4060</v>
      </c>
      <c r="D180" s="297" t="s">
        <v>2150</v>
      </c>
      <c r="E180" s="297" t="s">
        <v>1293</v>
      </c>
      <c r="F180" s="297" t="s">
        <v>3060</v>
      </c>
      <c r="G180" s="297"/>
      <c r="H180" s="297" t="s">
        <v>3120</v>
      </c>
      <c r="I180" s="297" t="s">
        <v>3199</v>
      </c>
      <c r="J180" s="45" t="str">
        <f t="shared" si="4"/>
        <v>GoldShandong Zhaojin Gold &amp; Silver Refinery Co., Ltd.</v>
      </c>
      <c r="K180" s="45" t="str">
        <f t="shared" si="5"/>
        <v>GoldShandong Zhaojin Gold &amp; Silver Refinery Co., Ltd.</v>
      </c>
      <c r="L180" s="243"/>
    </row>
    <row r="181" spans="1:12" ht="10.5" customHeight="1">
      <c r="A181" s="297" t="s">
        <v>2290</v>
      </c>
      <c r="B181" s="297" t="s">
        <v>3223</v>
      </c>
      <c r="C181" s="297" t="s">
        <v>4063</v>
      </c>
      <c r="D181" s="297" t="s">
        <v>2150</v>
      </c>
      <c r="E181" s="297" t="s">
        <v>1301</v>
      </c>
      <c r="F181" s="297" t="s">
        <v>3060</v>
      </c>
      <c r="G181" s="297"/>
      <c r="H181" s="297" t="s">
        <v>3221</v>
      </c>
      <c r="I181" s="297" t="s">
        <v>3199</v>
      </c>
      <c r="J181" s="45" t="str">
        <f t="shared" si="4"/>
        <v>GoldShangdong Gold (Laizhou)</v>
      </c>
      <c r="K181" s="45" t="str">
        <f t="shared" si="5"/>
        <v>GoldShangdong Gold (Laizhou)</v>
      </c>
      <c r="L181" s="243"/>
    </row>
    <row r="182" spans="1:12" ht="10.5" customHeight="1">
      <c r="A182" s="297" t="s">
        <v>2290</v>
      </c>
      <c r="B182" s="297" t="s">
        <v>41</v>
      </c>
      <c r="C182" s="297" t="s">
        <v>2424</v>
      </c>
      <c r="D182" s="297" t="s">
        <v>2217</v>
      </c>
      <c r="E182" s="297" t="s">
        <v>1299</v>
      </c>
      <c r="F182" s="297" t="s">
        <v>3060</v>
      </c>
      <c r="G182" s="297"/>
      <c r="H182" s="297" t="s">
        <v>3234</v>
      </c>
      <c r="I182" s="297" t="s">
        <v>3235</v>
      </c>
      <c r="J182" s="45" t="str">
        <f t="shared" si="4"/>
        <v>GoldShonan Plant Tanaka Kikinzoku</v>
      </c>
      <c r="K182" s="45" t="str">
        <f t="shared" si="5"/>
        <v>GoldShonan Plant Tanaka Kikinzoku</v>
      </c>
      <c r="L182" s="243"/>
    </row>
    <row r="183" spans="1:12" ht="10.5" customHeight="1">
      <c r="A183" s="297" t="s">
        <v>2290</v>
      </c>
      <c r="B183" s="297" t="s">
        <v>4061</v>
      </c>
      <c r="C183" s="297" t="s">
        <v>4061</v>
      </c>
      <c r="D183" s="297" t="s">
        <v>2150</v>
      </c>
      <c r="E183" s="297" t="s">
        <v>2646</v>
      </c>
      <c r="F183" s="297" t="s">
        <v>3060</v>
      </c>
      <c r="G183" s="297"/>
      <c r="H183" s="297" t="s">
        <v>3225</v>
      </c>
      <c r="I183" s="297" t="s">
        <v>3226</v>
      </c>
      <c r="J183" s="45" t="str">
        <f t="shared" si="4"/>
        <v>GoldSichuan Tianze Precious Metals Co., Ltd.</v>
      </c>
      <c r="K183" s="45" t="str">
        <f t="shared" si="5"/>
        <v>GoldSichuan Tianze Precious Metals Co., Ltd.</v>
      </c>
      <c r="L183" s="243"/>
    </row>
    <row r="184" spans="1:12" ht="10.5" customHeight="1">
      <c r="A184" s="297" t="s">
        <v>2290</v>
      </c>
      <c r="B184" s="297" t="s">
        <v>42</v>
      </c>
      <c r="C184" s="297" t="s">
        <v>2424</v>
      </c>
      <c r="D184" s="297" t="s">
        <v>2217</v>
      </c>
      <c r="E184" s="297" t="s">
        <v>1299</v>
      </c>
      <c r="F184" s="297" t="s">
        <v>3060</v>
      </c>
      <c r="G184" s="297"/>
      <c r="H184" s="297" t="s">
        <v>3234</v>
      </c>
      <c r="I184" s="297" t="s">
        <v>3235</v>
      </c>
      <c r="J184" s="45" t="str">
        <f t="shared" si="4"/>
        <v>GoldSingapore Tanaka</v>
      </c>
      <c r="K184" s="45" t="str">
        <f t="shared" si="5"/>
        <v>GoldSingapore Tanaka</v>
      </c>
      <c r="L184" s="243"/>
    </row>
    <row r="185" spans="1:12" ht="10.5" customHeight="1">
      <c r="A185" s="297" t="s">
        <v>2290</v>
      </c>
      <c r="B185" s="297" t="s">
        <v>2647</v>
      </c>
      <c r="C185" s="297" t="s">
        <v>2647</v>
      </c>
      <c r="D185" s="297" t="s">
        <v>4878</v>
      </c>
      <c r="E185" s="297" t="s">
        <v>2648</v>
      </c>
      <c r="F185" s="297" t="s">
        <v>3060</v>
      </c>
      <c r="G185" s="297"/>
      <c r="H185" s="297" t="s">
        <v>3284</v>
      </c>
      <c r="I185" s="297" t="s">
        <v>3285</v>
      </c>
      <c r="J185" s="46" t="str">
        <f t="shared" si="4"/>
        <v>GoldSingway Technology Co., Ltd.</v>
      </c>
      <c r="K185" s="45" t="str">
        <f t="shared" si="5"/>
        <v>GoldSingway Technology Co., Ltd.</v>
      </c>
      <c r="L185" s="243"/>
    </row>
    <row r="186" spans="1:12" ht="10.5" customHeight="1">
      <c r="A186" s="297" t="s">
        <v>2290</v>
      </c>
      <c r="B186" s="297" t="s">
        <v>1906</v>
      </c>
      <c r="C186" s="297" t="s">
        <v>76</v>
      </c>
      <c r="D186" s="297" t="s">
        <v>2217</v>
      </c>
      <c r="E186" s="297" t="s">
        <v>1298</v>
      </c>
      <c r="F186" s="297" t="s">
        <v>3060</v>
      </c>
      <c r="G186" s="297"/>
      <c r="H186" s="297" t="s">
        <v>3232</v>
      </c>
      <c r="I186" s="297" t="s">
        <v>4169</v>
      </c>
      <c r="J186" s="45" t="str">
        <f t="shared" si="4"/>
        <v>GoldSMM</v>
      </c>
      <c r="K186" s="45" t="str">
        <f t="shared" si="5"/>
        <v>GoldSMM</v>
      </c>
      <c r="L186" s="243"/>
    </row>
    <row r="187" spans="1:12" ht="10.5" customHeight="1">
      <c r="A187" s="297" t="s">
        <v>2290</v>
      </c>
      <c r="B187" s="297" t="s">
        <v>1294</v>
      </c>
      <c r="C187" s="297" t="s">
        <v>1294</v>
      </c>
      <c r="D187" s="297" t="s">
        <v>4880</v>
      </c>
      <c r="E187" s="297" t="s">
        <v>1295</v>
      </c>
      <c r="F187" s="297" t="s">
        <v>3060</v>
      </c>
      <c r="G187" s="297"/>
      <c r="H187" s="297" t="s">
        <v>3227</v>
      </c>
      <c r="I187" s="297" t="s">
        <v>3165</v>
      </c>
      <c r="J187" s="45" t="str">
        <f t="shared" si="4"/>
        <v>GoldSo Accurate Group, Inc.</v>
      </c>
      <c r="K187" s="45" t="str">
        <f t="shared" si="5"/>
        <v>GoldSo Accurate Group, Inc.</v>
      </c>
      <c r="L187" s="243"/>
    </row>
    <row r="188" spans="1:12" ht="10.5" customHeight="1">
      <c r="A188" s="297" t="s">
        <v>2290</v>
      </c>
      <c r="B188" s="297" t="s">
        <v>1767</v>
      </c>
      <c r="C188" s="297" t="s">
        <v>1767</v>
      </c>
      <c r="D188" s="297" t="s">
        <v>1690</v>
      </c>
      <c r="E188" s="297" t="s">
        <v>1296</v>
      </c>
      <c r="F188" s="297" t="s">
        <v>3060</v>
      </c>
      <c r="G188" s="297"/>
      <c r="H188" s="297" t="s">
        <v>3228</v>
      </c>
      <c r="I188" s="297" t="s">
        <v>3229</v>
      </c>
      <c r="J188" s="45" t="str">
        <f t="shared" si="4"/>
        <v>GoldSOE Shyolkovsky Factory of Secondary Precious Metals</v>
      </c>
      <c r="K188" s="45" t="str">
        <f t="shared" si="5"/>
        <v>GoldSOE Shyolkovsky Factory of Secondary Precious Metals</v>
      </c>
      <c r="L188" s="243"/>
    </row>
    <row r="189" spans="1:12" ht="10.5" customHeight="1">
      <c r="A189" s="297" t="s">
        <v>2290</v>
      </c>
      <c r="B189" s="297" t="s">
        <v>1768</v>
      </c>
      <c r="C189" s="297" t="s">
        <v>1768</v>
      </c>
      <c r="D189" s="297" t="s">
        <v>4878</v>
      </c>
      <c r="E189" s="297" t="s">
        <v>1297</v>
      </c>
      <c r="F189" s="297" t="s">
        <v>3060</v>
      </c>
      <c r="G189" s="297"/>
      <c r="H189" s="297" t="s">
        <v>3230</v>
      </c>
      <c r="I189" s="297" t="s">
        <v>3231</v>
      </c>
      <c r="J189" s="45" t="str">
        <f t="shared" si="4"/>
        <v>GoldSolar Applied Materials Technology Corp.</v>
      </c>
      <c r="K189" s="45" t="str">
        <f t="shared" si="5"/>
        <v>GoldSolar Applied Materials Technology Corp.</v>
      </c>
      <c r="L189" s="243"/>
    </row>
    <row r="190" spans="1:12" ht="10.5" customHeight="1">
      <c r="A190" s="297" t="s">
        <v>2290</v>
      </c>
      <c r="B190" s="297" t="s">
        <v>43</v>
      </c>
      <c r="C190" s="297" t="s">
        <v>1768</v>
      </c>
      <c r="D190" s="297" t="s">
        <v>4878</v>
      </c>
      <c r="E190" s="297" t="s">
        <v>1297</v>
      </c>
      <c r="F190" s="297" t="s">
        <v>3060</v>
      </c>
      <c r="G190" s="297"/>
      <c r="H190" s="297" t="s">
        <v>3230</v>
      </c>
      <c r="I190" s="297" t="s">
        <v>3231</v>
      </c>
      <c r="J190" s="45" t="str">
        <f t="shared" si="4"/>
        <v>GoldSOLAR CHEMICALAPPLIED MATERIALS TECHNOLOGY (KUN SHAN)</v>
      </c>
      <c r="K190" s="45" t="str">
        <f t="shared" si="5"/>
        <v>GoldSOLAR CHEMICALAPPLIED MATERIALS TECHNOLOGY (KUN SHAN)</v>
      </c>
      <c r="L190" s="243"/>
    </row>
    <row r="191" spans="1:12" ht="10.5" customHeight="1">
      <c r="A191" s="297" t="s">
        <v>2290</v>
      </c>
      <c r="B191" s="297" t="s">
        <v>44</v>
      </c>
      <c r="C191" s="297" t="s">
        <v>1768</v>
      </c>
      <c r="D191" s="297" t="s">
        <v>4878</v>
      </c>
      <c r="E191" s="297" t="s">
        <v>1297</v>
      </c>
      <c r="F191" s="297" t="s">
        <v>3060</v>
      </c>
      <c r="G191" s="297"/>
      <c r="H191" s="297" t="s">
        <v>3230</v>
      </c>
      <c r="I191" s="297" t="s">
        <v>3231</v>
      </c>
      <c r="J191" s="45" t="str">
        <f t="shared" si="4"/>
        <v>GoldSolartech</v>
      </c>
      <c r="K191" s="45" t="str">
        <f t="shared" si="5"/>
        <v>GoldSolartech</v>
      </c>
      <c r="L191" s="243"/>
    </row>
    <row r="192" spans="1:12" ht="10.5" customHeight="1">
      <c r="A192" s="297" t="s">
        <v>2290</v>
      </c>
      <c r="B192" s="297" t="s">
        <v>3293</v>
      </c>
      <c r="C192" s="297" t="s">
        <v>3293</v>
      </c>
      <c r="D192" s="297" t="s">
        <v>1693</v>
      </c>
      <c r="E192" s="297" t="s">
        <v>3294</v>
      </c>
      <c r="F192" s="297" t="s">
        <v>3060</v>
      </c>
      <c r="G192" s="297"/>
      <c r="H192" s="297" t="s">
        <v>3295</v>
      </c>
      <c r="I192" s="297" t="s">
        <v>3296</v>
      </c>
      <c r="J192" s="45" t="str">
        <f t="shared" si="4"/>
        <v>GoldSudan Gold Refinery</v>
      </c>
      <c r="K192" s="45" t="str">
        <f t="shared" si="5"/>
        <v>GoldSudan Gold Refinery</v>
      </c>
      <c r="L192" s="243"/>
    </row>
    <row r="193" spans="1:12" ht="10.5" customHeight="1">
      <c r="A193" s="297" t="s">
        <v>2290</v>
      </c>
      <c r="B193" s="297" t="s">
        <v>4185</v>
      </c>
      <c r="C193" s="297" t="s">
        <v>76</v>
      </c>
      <c r="D193" s="297" t="s">
        <v>2217</v>
      </c>
      <c r="E193" s="297" t="s">
        <v>1298</v>
      </c>
      <c r="F193" s="297" t="s">
        <v>3060</v>
      </c>
      <c r="G193" s="297"/>
      <c r="H193" s="297" t="s">
        <v>3232</v>
      </c>
      <c r="I193" s="297" t="s">
        <v>4169</v>
      </c>
      <c r="J193" s="45" t="str">
        <f t="shared" si="4"/>
        <v>GoldSumitomo Kinzoku Kozan K.K.</v>
      </c>
      <c r="K193" s="45" t="str">
        <f t="shared" si="5"/>
        <v>GoldSumitomo Kinzoku Kozan K.K.</v>
      </c>
      <c r="L193" s="243"/>
    </row>
    <row r="194" spans="1:12" ht="10.5" customHeight="1">
      <c r="A194" s="297" t="s">
        <v>2290</v>
      </c>
      <c r="B194" s="297" t="s">
        <v>76</v>
      </c>
      <c r="C194" s="297" t="s">
        <v>76</v>
      </c>
      <c r="D194" s="297" t="s">
        <v>2217</v>
      </c>
      <c r="E194" s="297" t="s">
        <v>1298</v>
      </c>
      <c r="F194" s="297" t="s">
        <v>3060</v>
      </c>
      <c r="G194" s="297"/>
      <c r="H194" s="297" t="s">
        <v>3232</v>
      </c>
      <c r="I194" s="297" t="s">
        <v>4169</v>
      </c>
      <c r="J194" s="45" t="str">
        <f t="shared" si="4"/>
        <v>GoldSumitomo Metal Mining Co., Ltd.</v>
      </c>
      <c r="K194" s="45" t="str">
        <f t="shared" si="5"/>
        <v>GoldSumitomo Metal Mining Co., Ltd.</v>
      </c>
      <c r="L194" s="243"/>
    </row>
    <row r="195" spans="1:12" ht="10.5" customHeight="1">
      <c r="A195" s="297" t="s">
        <v>2290</v>
      </c>
      <c r="B195" s="297" t="s">
        <v>4926</v>
      </c>
      <c r="C195" s="297" t="s">
        <v>4926</v>
      </c>
      <c r="D195" s="297" t="s">
        <v>4876</v>
      </c>
      <c r="E195" s="297" t="s">
        <v>4925</v>
      </c>
      <c r="F195" s="297" t="s">
        <v>3060</v>
      </c>
      <c r="G195" s="297"/>
      <c r="H195" s="297" t="s">
        <v>4927</v>
      </c>
      <c r="I195" s="297" t="s">
        <v>4928</v>
      </c>
      <c r="J195" s="45" t="str">
        <f t="shared" si="4"/>
        <v>GoldSungEel HiTech</v>
      </c>
      <c r="K195" s="45" t="str">
        <f t="shared" si="5"/>
        <v>GoldSungEel HiTech</v>
      </c>
      <c r="L195" s="243"/>
    </row>
    <row r="196" spans="1:12" ht="10.5" customHeight="1">
      <c r="A196" s="297" t="s">
        <v>2290</v>
      </c>
      <c r="B196" s="297" t="s">
        <v>4176</v>
      </c>
      <c r="C196" s="297" t="s">
        <v>4176</v>
      </c>
      <c r="D196" s="297" t="s">
        <v>2214</v>
      </c>
      <c r="E196" s="297" t="s">
        <v>3297</v>
      </c>
      <c r="F196" s="297" t="s">
        <v>3060</v>
      </c>
      <c r="G196" s="297"/>
      <c r="H196" s="297" t="s">
        <v>3298</v>
      </c>
      <c r="I196" s="297" t="s">
        <v>3099</v>
      </c>
      <c r="J196" s="45" t="str">
        <f t="shared" si="4"/>
        <v>GoldT.C.A S.p.A</v>
      </c>
      <c r="K196" s="45" t="str">
        <f t="shared" si="5"/>
        <v>GoldT.C.A S.p.A</v>
      </c>
      <c r="L196" s="243"/>
    </row>
    <row r="197" spans="1:12" ht="10.5" customHeight="1">
      <c r="A197" s="297" t="s">
        <v>2290</v>
      </c>
      <c r="B197" s="297" t="s">
        <v>4574</v>
      </c>
      <c r="C197" s="297" t="s">
        <v>2421</v>
      </c>
      <c r="D197" s="297" t="s">
        <v>2217</v>
      </c>
      <c r="E197" s="297" t="s">
        <v>1274</v>
      </c>
      <c r="F197" s="297" t="s">
        <v>3060</v>
      </c>
      <c r="G197" s="297"/>
      <c r="H197" s="297" t="s">
        <v>3182</v>
      </c>
      <c r="I197" s="297" t="s">
        <v>3181</v>
      </c>
      <c r="J197" s="45" t="str">
        <f t="shared" ref="J197:J262" si="6">A197&amp;B197</f>
        <v>GoldTakehara Refinery</v>
      </c>
      <c r="K197" s="45" t="str">
        <f t="shared" ref="K197:K262" si="7">A197&amp;B197</f>
        <v>GoldTakehara Refinery</v>
      </c>
      <c r="L197" s="243"/>
    </row>
    <row r="198" spans="1:12" ht="10.5" customHeight="1">
      <c r="A198" s="297" t="s">
        <v>2290</v>
      </c>
      <c r="B198" s="297" t="s">
        <v>4566</v>
      </c>
      <c r="C198" s="297" t="s">
        <v>72</v>
      </c>
      <c r="D198" s="297" t="s">
        <v>2217</v>
      </c>
      <c r="E198" s="297" t="s">
        <v>1255</v>
      </c>
      <c r="F198" s="297" t="s">
        <v>3060</v>
      </c>
      <c r="G198" s="297"/>
      <c r="H198" s="297" t="s">
        <v>4708</v>
      </c>
      <c r="I198" s="297" t="s">
        <v>4708</v>
      </c>
      <c r="J198" s="45" t="str">
        <f t="shared" si="6"/>
        <v>GoldTamano Smelter</v>
      </c>
      <c r="K198" s="45" t="str">
        <f t="shared" si="7"/>
        <v>GoldTamano Smelter</v>
      </c>
      <c r="L198" s="243"/>
    </row>
    <row r="199" spans="1:12" ht="10.5" customHeight="1">
      <c r="A199" s="297" t="s">
        <v>2290</v>
      </c>
      <c r="B199" s="297" t="s">
        <v>4186</v>
      </c>
      <c r="C199" s="297" t="s">
        <v>2424</v>
      </c>
      <c r="D199" s="297" t="s">
        <v>2217</v>
      </c>
      <c r="E199" s="297" t="s">
        <v>1299</v>
      </c>
      <c r="F199" s="297" t="s">
        <v>3060</v>
      </c>
      <c r="G199" s="297"/>
      <c r="H199" s="297" t="s">
        <v>3234</v>
      </c>
      <c r="I199" s="297" t="s">
        <v>3235</v>
      </c>
      <c r="J199" s="45" t="str">
        <f t="shared" si="6"/>
        <v>GoldTanaka Denshi Kogyo K.K</v>
      </c>
      <c r="K199" s="45" t="str">
        <f t="shared" si="7"/>
        <v>GoldTanaka Denshi Kogyo K.K</v>
      </c>
      <c r="L199" s="243"/>
    </row>
    <row r="200" spans="1:12" ht="10.5" customHeight="1">
      <c r="A200" s="297" t="s">
        <v>2290</v>
      </c>
      <c r="B200" s="297" t="s">
        <v>4590</v>
      </c>
      <c r="C200" s="297" t="s">
        <v>2424</v>
      </c>
      <c r="D200" s="297" t="s">
        <v>2217</v>
      </c>
      <c r="E200" s="297" t="s">
        <v>1299</v>
      </c>
      <c r="F200" s="297" t="s">
        <v>3060</v>
      </c>
      <c r="G200" s="297"/>
      <c r="H200" s="297" t="s">
        <v>3234</v>
      </c>
      <c r="I200" s="297" t="s">
        <v>3235</v>
      </c>
      <c r="J200" s="45" t="str">
        <f t="shared" si="6"/>
        <v>GoldTanaka Electronics (Hong Kong) Pte. Ltd.</v>
      </c>
      <c r="K200" s="45" t="str">
        <f t="shared" si="7"/>
        <v>GoldTanaka Electronics (Hong Kong) Pte. Ltd.</v>
      </c>
      <c r="L200" s="243"/>
    </row>
    <row r="201" spans="1:12" ht="10.5" customHeight="1">
      <c r="A201" s="297" t="s">
        <v>2290</v>
      </c>
      <c r="B201" s="297" t="s">
        <v>4626</v>
      </c>
      <c r="C201" s="297" t="s">
        <v>2424</v>
      </c>
      <c r="D201" s="297" t="s">
        <v>2217</v>
      </c>
      <c r="E201" s="297" t="s">
        <v>1299</v>
      </c>
      <c r="F201" s="297" t="s">
        <v>3060</v>
      </c>
      <c r="G201" s="297"/>
      <c r="H201" s="297" t="s">
        <v>3234</v>
      </c>
      <c r="I201" s="297" t="s">
        <v>3235</v>
      </c>
      <c r="J201" s="45" t="str">
        <f t="shared" si="6"/>
        <v>GoldTANAKA Electronics (Malaysia) SDN. BHD.</v>
      </c>
      <c r="K201" s="45" t="str">
        <f t="shared" si="7"/>
        <v>GoldTANAKA Electronics (Malaysia) SDN. BHD.</v>
      </c>
      <c r="L201" s="243"/>
    </row>
    <row r="202" spans="1:12" ht="10.5" customHeight="1">
      <c r="A202" s="297" t="s">
        <v>2290</v>
      </c>
      <c r="B202" s="297" t="s">
        <v>4591</v>
      </c>
      <c r="C202" s="297" t="s">
        <v>2424</v>
      </c>
      <c r="D202" s="297" t="s">
        <v>2217</v>
      </c>
      <c r="E202" s="297" t="s">
        <v>1299</v>
      </c>
      <c r="F202" s="297" t="s">
        <v>3060</v>
      </c>
      <c r="G202" s="297"/>
      <c r="H202" s="297" t="s">
        <v>3234</v>
      </c>
      <c r="I202" s="297" t="s">
        <v>3235</v>
      </c>
      <c r="J202" s="45" t="str">
        <f t="shared" si="6"/>
        <v>GoldTanaka Electronics (Singapore) Pte. Ltd.</v>
      </c>
      <c r="K202" s="45" t="str">
        <f t="shared" si="7"/>
        <v>GoldTanaka Electronics (Singapore) Pte. Ltd.</v>
      </c>
      <c r="L202" s="243"/>
    </row>
    <row r="203" spans="1:12" ht="10.5" customHeight="1">
      <c r="A203" s="297" t="s">
        <v>2290</v>
      </c>
      <c r="B203" s="297" t="s">
        <v>3236</v>
      </c>
      <c r="C203" s="297" t="s">
        <v>2424</v>
      </c>
      <c r="D203" s="297" t="s">
        <v>2217</v>
      </c>
      <c r="E203" s="297" t="s">
        <v>1299</v>
      </c>
      <c r="F203" s="297" t="s">
        <v>3060</v>
      </c>
      <c r="G203" s="297"/>
      <c r="H203" s="297" t="s">
        <v>3234</v>
      </c>
      <c r="I203" s="297" t="s">
        <v>3235</v>
      </c>
      <c r="J203" s="45" t="str">
        <f t="shared" si="6"/>
        <v>GoldTanaka Kikinzoku International</v>
      </c>
      <c r="K203" s="45" t="str">
        <f t="shared" si="7"/>
        <v>GoldTanaka Kikinzoku International</v>
      </c>
      <c r="L203" s="243"/>
    </row>
    <row r="204" spans="1:12" ht="10.5" customHeight="1">
      <c r="A204" s="297" t="s">
        <v>2290</v>
      </c>
      <c r="B204" s="297" t="s">
        <v>4592</v>
      </c>
      <c r="C204" s="297" t="s">
        <v>2424</v>
      </c>
      <c r="D204" s="297" t="s">
        <v>2217</v>
      </c>
      <c r="E204" s="297" t="s">
        <v>1299</v>
      </c>
      <c r="F204" s="297" t="s">
        <v>3060</v>
      </c>
      <c r="G204" s="297"/>
      <c r="H204" s="297" t="s">
        <v>3234</v>
      </c>
      <c r="I204" s="297" t="s">
        <v>3235</v>
      </c>
      <c r="J204" s="45" t="str">
        <f t="shared" si="6"/>
        <v>GoldTanaka Kikinzoku Kogyo K.K</v>
      </c>
      <c r="K204" s="45" t="str">
        <f t="shared" si="7"/>
        <v>GoldTanaka Kikinzoku Kogyo K.K</v>
      </c>
      <c r="L204" s="243"/>
    </row>
    <row r="205" spans="1:12" ht="10.5" customHeight="1">
      <c r="A205" s="297" t="s">
        <v>2290</v>
      </c>
      <c r="B205" s="297" t="s">
        <v>2424</v>
      </c>
      <c r="C205" s="297" t="s">
        <v>2424</v>
      </c>
      <c r="D205" s="297" t="s">
        <v>2217</v>
      </c>
      <c r="E205" s="297" t="s">
        <v>1299</v>
      </c>
      <c r="F205" s="297" t="s">
        <v>3060</v>
      </c>
      <c r="G205" s="297"/>
      <c r="H205" s="297" t="s">
        <v>3234</v>
      </c>
      <c r="I205" s="297" t="s">
        <v>3235</v>
      </c>
      <c r="J205" s="45" t="str">
        <f t="shared" si="6"/>
        <v>GoldTanaka Kikinzoku Kogyo K.K.</v>
      </c>
      <c r="K205" s="45" t="str">
        <f t="shared" si="7"/>
        <v>GoldTanaka Kikinzoku Kogyo K.K.</v>
      </c>
      <c r="L205" s="243"/>
    </row>
    <row r="206" spans="1:12" ht="10.5" customHeight="1">
      <c r="A206" s="297" t="s">
        <v>2290</v>
      </c>
      <c r="B206" s="297" t="s">
        <v>3237</v>
      </c>
      <c r="C206" s="297" t="s">
        <v>2424</v>
      </c>
      <c r="D206" s="297" t="s">
        <v>2217</v>
      </c>
      <c r="E206" s="297" t="s">
        <v>1299</v>
      </c>
      <c r="F206" s="297" t="s">
        <v>3060</v>
      </c>
      <c r="G206" s="297"/>
      <c r="H206" s="297" t="s">
        <v>3234</v>
      </c>
      <c r="I206" s="297" t="s">
        <v>3235</v>
      </c>
      <c r="J206" s="45" t="str">
        <f t="shared" si="6"/>
        <v>GoldTanaka Precious Metals</v>
      </c>
      <c r="K206" s="45" t="str">
        <f t="shared" si="7"/>
        <v>GoldTanaka Precious Metals</v>
      </c>
      <c r="L206" s="243"/>
    </row>
    <row r="207" spans="1:12" ht="10.5" customHeight="1">
      <c r="A207" s="297" t="s">
        <v>2290</v>
      </c>
      <c r="B207" s="297" t="s">
        <v>1170</v>
      </c>
      <c r="C207" s="297" t="s">
        <v>4178</v>
      </c>
      <c r="D207" s="297" t="s">
        <v>2150</v>
      </c>
      <c r="E207" s="297" t="s">
        <v>1300</v>
      </c>
      <c r="F207" s="297" t="s">
        <v>3060</v>
      </c>
      <c r="G207" s="297"/>
      <c r="H207" s="297" t="s">
        <v>3225</v>
      </c>
      <c r="I207" s="297" t="s">
        <v>3226</v>
      </c>
      <c r="J207" s="45" t="str">
        <f t="shared" si="6"/>
        <v>GoldThe Great Wall Gold and Silver Refinery of China</v>
      </c>
      <c r="K207" s="45" t="str">
        <f t="shared" si="7"/>
        <v>GoldThe Great Wall Gold and Silver Refinery of China</v>
      </c>
      <c r="L207" s="243"/>
    </row>
    <row r="208" spans="1:12" ht="10.5" customHeight="1">
      <c r="A208" s="297" t="s">
        <v>2290</v>
      </c>
      <c r="B208" s="297" t="s">
        <v>1905</v>
      </c>
      <c r="C208" s="297" t="s">
        <v>2289</v>
      </c>
      <c r="D208" s="297" t="s">
        <v>2124</v>
      </c>
      <c r="E208" s="297" t="s">
        <v>1309</v>
      </c>
      <c r="F208" s="297" t="s">
        <v>3060</v>
      </c>
      <c r="G208" s="297"/>
      <c r="H208" s="297" t="s">
        <v>3253</v>
      </c>
      <c r="I208" s="297" t="s">
        <v>3254</v>
      </c>
      <c r="J208" s="45" t="str">
        <f t="shared" si="6"/>
        <v>GoldThe Perth Mint</v>
      </c>
      <c r="K208" s="45" t="str">
        <f t="shared" si="7"/>
        <v>GoldThe Perth Mint</v>
      </c>
      <c r="L208" s="243"/>
    </row>
    <row r="209" spans="1:12" ht="10.5" customHeight="1">
      <c r="A209" s="297" t="s">
        <v>2290</v>
      </c>
      <c r="B209" s="297" t="s">
        <v>4063</v>
      </c>
      <c r="C209" s="297" t="s">
        <v>4063</v>
      </c>
      <c r="D209" s="297" t="s">
        <v>2150</v>
      </c>
      <c r="E209" s="297" t="s">
        <v>1301</v>
      </c>
      <c r="F209" s="297" t="s">
        <v>3060</v>
      </c>
      <c r="G209" s="297"/>
      <c r="H209" s="297" t="s">
        <v>3221</v>
      </c>
      <c r="I209" s="297" t="s">
        <v>3199</v>
      </c>
      <c r="J209" s="45" t="str">
        <f t="shared" si="6"/>
        <v>GoldThe Refinery of Shandong Gold Mining Co., Ltd.</v>
      </c>
      <c r="K209" s="45" t="str">
        <f t="shared" si="7"/>
        <v>GoldThe Refinery of Shandong Gold Mining Co., Ltd.</v>
      </c>
      <c r="L209" s="243"/>
    </row>
    <row r="210" spans="1:12" ht="10.5" customHeight="1">
      <c r="A210" s="297" t="s">
        <v>2290</v>
      </c>
      <c r="B210" s="297" t="s">
        <v>4064</v>
      </c>
      <c r="C210" s="297" t="s">
        <v>4064</v>
      </c>
      <c r="D210" s="297" t="s">
        <v>2217</v>
      </c>
      <c r="E210" s="297" t="s">
        <v>1302</v>
      </c>
      <c r="F210" s="297" t="s">
        <v>3060</v>
      </c>
      <c r="G210" s="297"/>
      <c r="H210" s="297" t="s">
        <v>3240</v>
      </c>
      <c r="I210" s="297" t="s">
        <v>3114</v>
      </c>
      <c r="J210" s="45" t="str">
        <f t="shared" si="6"/>
        <v>GoldTokuriki Honten Co., Ltd.</v>
      </c>
      <c r="K210" s="45" t="str">
        <f t="shared" si="7"/>
        <v>GoldTokuriki Honten Co., Ltd.</v>
      </c>
      <c r="L210" s="243"/>
    </row>
    <row r="211" spans="1:12" ht="10.5" customHeight="1">
      <c r="A211" s="297" t="s">
        <v>2290</v>
      </c>
      <c r="B211" s="297" t="s">
        <v>4136</v>
      </c>
      <c r="C211" s="297" t="s">
        <v>4136</v>
      </c>
      <c r="D211" s="297" t="s">
        <v>2150</v>
      </c>
      <c r="E211" s="297" t="s">
        <v>1303</v>
      </c>
      <c r="F211" s="297" t="s">
        <v>3060</v>
      </c>
      <c r="G211" s="297"/>
      <c r="H211" s="297" t="s">
        <v>3241</v>
      </c>
      <c r="I211" s="297" t="s">
        <v>3242</v>
      </c>
      <c r="J211" s="45" t="str">
        <f t="shared" si="6"/>
        <v>GoldTongling Nonferrous Metals Group Co., Ltd.</v>
      </c>
      <c r="K211" s="45" t="str">
        <f t="shared" si="7"/>
        <v>GoldTongling Nonferrous Metals Group Co., Ltd.</v>
      </c>
      <c r="L211" s="243"/>
    </row>
    <row r="212" spans="1:12" ht="10.5" customHeight="1">
      <c r="A212" s="297" t="s">
        <v>2290</v>
      </c>
      <c r="B212" s="297" t="s">
        <v>3244</v>
      </c>
      <c r="C212" s="297" t="s">
        <v>4136</v>
      </c>
      <c r="D212" s="297" t="s">
        <v>2150</v>
      </c>
      <c r="E212" s="297" t="s">
        <v>1303</v>
      </c>
      <c r="F212" s="297" t="s">
        <v>3060</v>
      </c>
      <c r="G212" s="297"/>
      <c r="H212" s="297" t="s">
        <v>3241</v>
      </c>
      <c r="I212" s="297" t="s">
        <v>3242</v>
      </c>
      <c r="J212" s="45" t="str">
        <f t="shared" si="6"/>
        <v>GoldTongLing Nonferrous Metals Group Holdings Co., Ltd.</v>
      </c>
      <c r="K212" s="45" t="str">
        <f t="shared" si="7"/>
        <v>GoldTongLing Nonferrous Metals Group Holdings Co., Ltd.</v>
      </c>
      <c r="L212" s="243"/>
    </row>
    <row r="213" spans="1:12" ht="10.5" customHeight="1">
      <c r="A213" s="297" t="s">
        <v>2290</v>
      </c>
      <c r="B213" s="297" t="s">
        <v>4232</v>
      </c>
      <c r="C213" s="297" t="s">
        <v>4232</v>
      </c>
      <c r="D213" s="297" t="s">
        <v>2128</v>
      </c>
      <c r="E213" s="297" t="s">
        <v>4233</v>
      </c>
      <c r="F213" s="297" t="s">
        <v>3060</v>
      </c>
      <c r="G213" s="297"/>
      <c r="H213" s="297" t="s">
        <v>3250</v>
      </c>
      <c r="I213" s="297" t="s">
        <v>3250</v>
      </c>
      <c r="J213" s="45" t="str">
        <f t="shared" si="6"/>
        <v>GoldTony Goetz NV</v>
      </c>
      <c r="K213" s="45" t="str">
        <f t="shared" si="7"/>
        <v>GoldTony Goetz NV</v>
      </c>
      <c r="L213" s="243"/>
    </row>
    <row r="214" spans="1:12" ht="10.5" customHeight="1">
      <c r="A214" s="297" t="s">
        <v>2290</v>
      </c>
      <c r="B214" s="297" t="s">
        <v>4593</v>
      </c>
      <c r="C214" s="297" t="s">
        <v>4593</v>
      </c>
      <c r="D214" s="297" t="s">
        <v>2218</v>
      </c>
      <c r="E214" s="297" t="s">
        <v>4594</v>
      </c>
      <c r="F214" s="297" t="s">
        <v>3060</v>
      </c>
      <c r="G214" s="297"/>
      <c r="H214" s="297" t="s">
        <v>4595</v>
      </c>
      <c r="I214" s="297" t="s">
        <v>4596</v>
      </c>
      <c r="J214" s="45" t="str">
        <f t="shared" si="6"/>
        <v>GoldTOO Tau-Ken-Altyn</v>
      </c>
      <c r="K214" s="45" t="str">
        <f t="shared" si="7"/>
        <v>GoldTOO Tau-Ken-Altyn</v>
      </c>
      <c r="L214" s="243"/>
    </row>
    <row r="215" spans="1:12" ht="10.5" customHeight="1">
      <c r="A215" s="297" t="s">
        <v>2290</v>
      </c>
      <c r="B215" s="297" t="s">
        <v>1149</v>
      </c>
      <c r="C215" s="297" t="s">
        <v>1149</v>
      </c>
      <c r="D215" s="297" t="s">
        <v>4876</v>
      </c>
      <c r="E215" s="297" t="s">
        <v>1304</v>
      </c>
      <c r="F215" s="297" t="s">
        <v>3060</v>
      </c>
      <c r="G215" s="297"/>
      <c r="H215" s="297" t="s">
        <v>3245</v>
      </c>
      <c r="I215" s="297" t="s">
        <v>3246</v>
      </c>
      <c r="J215" s="45" t="str">
        <f t="shared" si="6"/>
        <v>GoldTorecom</v>
      </c>
      <c r="K215" s="45" t="str">
        <f t="shared" si="7"/>
        <v>GoldTorecom</v>
      </c>
      <c r="L215" s="243"/>
    </row>
    <row r="216" spans="1:12" ht="10.5" customHeight="1">
      <c r="A216" s="297" t="s">
        <v>2290</v>
      </c>
      <c r="B216" s="297" t="s">
        <v>3233</v>
      </c>
      <c r="C216" s="297" t="s">
        <v>76</v>
      </c>
      <c r="D216" s="297" t="s">
        <v>2217</v>
      </c>
      <c r="E216" s="297" t="s">
        <v>1298</v>
      </c>
      <c r="F216" s="297" t="s">
        <v>3060</v>
      </c>
      <c r="G216" s="297"/>
      <c r="H216" s="297" t="s">
        <v>3232</v>
      </c>
      <c r="I216" s="297" t="s">
        <v>4169</v>
      </c>
      <c r="J216" s="45" t="str">
        <f t="shared" si="6"/>
        <v>GoldToyo Smelter &amp; Refinery</v>
      </c>
      <c r="K216" s="45" t="str">
        <f t="shared" si="7"/>
        <v>GoldToyo Smelter &amp; Refinery</v>
      </c>
      <c r="L216" s="243"/>
    </row>
    <row r="217" spans="1:12" ht="10.5" customHeight="1">
      <c r="A217" s="297" t="s">
        <v>2290</v>
      </c>
      <c r="B217" s="297" t="s">
        <v>4065</v>
      </c>
      <c r="C217" s="297" t="s">
        <v>4065</v>
      </c>
      <c r="D217" s="297" t="s">
        <v>2139</v>
      </c>
      <c r="E217" s="297" t="s">
        <v>1305</v>
      </c>
      <c r="F217" s="297" t="s">
        <v>3060</v>
      </c>
      <c r="G217" s="297"/>
      <c r="H217" s="297" t="s">
        <v>3247</v>
      </c>
      <c r="I217" s="297" t="s">
        <v>3248</v>
      </c>
      <c r="J217" s="45" t="str">
        <f t="shared" si="6"/>
        <v>GoldUmicore Brasil Ltda.</v>
      </c>
      <c r="K217" s="45" t="str">
        <f t="shared" si="7"/>
        <v>GoldUmicore Brasil Ltda.</v>
      </c>
      <c r="L217" s="243"/>
    </row>
    <row r="218" spans="1:12" ht="10.5" customHeight="1">
      <c r="A218" s="297" t="s">
        <v>2290</v>
      </c>
      <c r="B218" s="297" t="s">
        <v>204</v>
      </c>
      <c r="C218" s="297" t="s">
        <v>204</v>
      </c>
      <c r="D218" s="297" t="s">
        <v>1716</v>
      </c>
      <c r="E218" s="297" t="s">
        <v>205</v>
      </c>
      <c r="F218" s="297" t="s">
        <v>3060</v>
      </c>
      <c r="G218" s="297"/>
      <c r="H218" s="297" t="s">
        <v>3272</v>
      </c>
      <c r="I218" s="297" t="s">
        <v>3273</v>
      </c>
      <c r="J218" s="45" t="str">
        <f t="shared" si="6"/>
        <v>GoldUmicore Precious Metals Thailand</v>
      </c>
      <c r="K218" s="45" t="str">
        <f t="shared" si="7"/>
        <v>GoldUmicore Precious Metals Thailand</v>
      </c>
      <c r="L218" s="243"/>
    </row>
    <row r="219" spans="1:12" ht="10.5" customHeight="1">
      <c r="A219" s="297" t="s">
        <v>2290</v>
      </c>
      <c r="B219" s="297" t="s">
        <v>4597</v>
      </c>
      <c r="C219" s="297" t="s">
        <v>4597</v>
      </c>
      <c r="D219" s="297" t="s">
        <v>2128</v>
      </c>
      <c r="E219" s="297" t="s">
        <v>1306</v>
      </c>
      <c r="F219" s="297" t="s">
        <v>3060</v>
      </c>
      <c r="G219" s="297"/>
      <c r="H219" s="297" t="s">
        <v>3249</v>
      </c>
      <c r="I219" s="297" t="s">
        <v>3250</v>
      </c>
      <c r="J219" s="45" t="str">
        <f t="shared" si="6"/>
        <v>GoldUmicore S.A. Business Unit Precious Metals Refining</v>
      </c>
      <c r="K219" s="45" t="str">
        <f t="shared" si="7"/>
        <v>GoldUmicore S.A. Business Unit Precious Metals Refining</v>
      </c>
      <c r="L219" s="243"/>
    </row>
    <row r="220" spans="1:12" ht="10.5" customHeight="1">
      <c r="A220" s="297" t="s">
        <v>2290</v>
      </c>
      <c r="B220" s="297" t="s">
        <v>1444</v>
      </c>
      <c r="C220" s="297" t="s">
        <v>1444</v>
      </c>
      <c r="D220" s="297" t="s">
        <v>4880</v>
      </c>
      <c r="E220" s="297" t="s">
        <v>1307</v>
      </c>
      <c r="F220" s="297" t="s">
        <v>3060</v>
      </c>
      <c r="G220" s="297"/>
      <c r="H220" s="297" t="s">
        <v>3251</v>
      </c>
      <c r="I220" s="297" t="s">
        <v>3165</v>
      </c>
      <c r="J220" s="45" t="str">
        <f t="shared" si="6"/>
        <v>GoldUnited Precious Metal Refining, Inc.</v>
      </c>
      <c r="K220" s="45" t="str">
        <f t="shared" si="7"/>
        <v>GoldUnited Precious Metal Refining, Inc.</v>
      </c>
      <c r="L220" s="243"/>
    </row>
    <row r="221" spans="1:12" ht="10.5" customHeight="1">
      <c r="A221" s="297" t="s">
        <v>2290</v>
      </c>
      <c r="B221" s="297" t="s">
        <v>4598</v>
      </c>
      <c r="C221" s="297" t="s">
        <v>4598</v>
      </c>
      <c r="D221" s="297" t="s">
        <v>1745</v>
      </c>
      <c r="E221" s="297" t="s">
        <v>4599</v>
      </c>
      <c r="F221" s="297" t="s">
        <v>3060</v>
      </c>
      <c r="G221" s="297"/>
      <c r="H221" s="297" t="s">
        <v>4600</v>
      </c>
      <c r="I221" s="297" t="s">
        <v>4633</v>
      </c>
      <c r="J221" s="45" t="str">
        <f t="shared" si="6"/>
        <v>GoldUniversal Precious Metals Refining Zambia</v>
      </c>
      <c r="K221" s="45" t="str">
        <f t="shared" si="7"/>
        <v>GoldUniversal Precious Metals Refining Zambia</v>
      </c>
      <c r="L221" s="243"/>
    </row>
    <row r="222" spans="1:12" ht="10.5" customHeight="1">
      <c r="A222" s="297" t="s">
        <v>2290</v>
      </c>
      <c r="B222" s="297" t="s">
        <v>4601</v>
      </c>
      <c r="C222" s="297" t="s">
        <v>4601</v>
      </c>
      <c r="D222" s="297" t="s">
        <v>2148</v>
      </c>
      <c r="E222" s="297" t="s">
        <v>1308</v>
      </c>
      <c r="F222" s="297" t="s">
        <v>3060</v>
      </c>
      <c r="G222" s="297"/>
      <c r="H222" s="297" t="s">
        <v>3252</v>
      </c>
      <c r="I222" s="297" t="s">
        <v>3073</v>
      </c>
      <c r="J222" s="45" t="str">
        <f t="shared" si="6"/>
        <v>GoldValcambi S.A.</v>
      </c>
      <c r="K222" s="45" t="str">
        <f t="shared" si="7"/>
        <v>GoldValcambi S.A.</v>
      </c>
      <c r="L222" s="243"/>
    </row>
    <row r="223" spans="1:12" ht="10.5" customHeight="1">
      <c r="A223" s="297" t="s">
        <v>2290</v>
      </c>
      <c r="B223" s="297" t="s">
        <v>2289</v>
      </c>
      <c r="C223" s="297" t="s">
        <v>2289</v>
      </c>
      <c r="D223" s="297" t="s">
        <v>2124</v>
      </c>
      <c r="E223" s="297" t="s">
        <v>1309</v>
      </c>
      <c r="F223" s="297" t="s">
        <v>3060</v>
      </c>
      <c r="G223" s="297"/>
      <c r="H223" s="297" t="s">
        <v>3253</v>
      </c>
      <c r="I223" s="297" t="s">
        <v>3254</v>
      </c>
      <c r="J223" s="45" t="str">
        <f t="shared" si="6"/>
        <v>GoldWestern Australian Mint trading as The Perth Mint</v>
      </c>
      <c r="K223" s="45" t="str">
        <f t="shared" si="7"/>
        <v>GoldWestern Australian Mint trading as The Perth Mint</v>
      </c>
      <c r="L223" s="243"/>
    </row>
    <row r="224" spans="1:12" ht="10.5" customHeight="1">
      <c r="A224" s="297" t="s">
        <v>2290</v>
      </c>
      <c r="B224" s="297" t="s">
        <v>4156</v>
      </c>
      <c r="C224" s="297" t="s">
        <v>4156</v>
      </c>
      <c r="D224" s="297" t="s">
        <v>2164</v>
      </c>
      <c r="E224" s="297" t="s">
        <v>4159</v>
      </c>
      <c r="F224" s="297" t="s">
        <v>3060</v>
      </c>
      <c r="G224" s="297"/>
      <c r="H224" s="297" t="s">
        <v>3065</v>
      </c>
      <c r="I224" s="297" t="s">
        <v>3066</v>
      </c>
      <c r="J224" s="45" t="str">
        <f t="shared" si="6"/>
        <v>GoldWIELAND Edelmetalle GmbH</v>
      </c>
      <c r="K224" s="45" t="str">
        <f t="shared" si="7"/>
        <v>GoldWIELAND Edelmetalle GmbH</v>
      </c>
      <c r="L224" s="243"/>
    </row>
    <row r="225" spans="1:12" ht="10.5" customHeight="1">
      <c r="A225" s="297" t="s">
        <v>2290</v>
      </c>
      <c r="B225" s="297" t="s">
        <v>45</v>
      </c>
      <c r="C225" s="297" t="s">
        <v>1763</v>
      </c>
      <c r="D225" s="297" t="s">
        <v>4880</v>
      </c>
      <c r="E225" s="297" t="s">
        <v>1266</v>
      </c>
      <c r="F225" s="297" t="s">
        <v>3060</v>
      </c>
      <c r="G225" s="297"/>
      <c r="H225" s="297" t="s">
        <v>3164</v>
      </c>
      <c r="I225" s="297" t="s">
        <v>3165</v>
      </c>
      <c r="J225" s="45" t="str">
        <f t="shared" si="6"/>
        <v>GoldWilliams Advanced Materials</v>
      </c>
      <c r="K225" s="45" t="str">
        <f t="shared" si="7"/>
        <v>GoldWilliams Advanced Materials</v>
      </c>
      <c r="L225" s="243"/>
    </row>
    <row r="226" spans="1:12" ht="10.5" customHeight="1">
      <c r="A226" s="297" t="s">
        <v>2290</v>
      </c>
      <c r="B226" s="297" t="s">
        <v>3092</v>
      </c>
      <c r="C226" s="297" t="s">
        <v>4207</v>
      </c>
      <c r="D226" s="297" t="s">
        <v>2146</v>
      </c>
      <c r="E226" s="297" t="s">
        <v>1226</v>
      </c>
      <c r="F226" s="297" t="s">
        <v>3060</v>
      </c>
      <c r="G226" s="297"/>
      <c r="H226" s="297" t="s">
        <v>3089</v>
      </c>
      <c r="I226" s="297" t="s">
        <v>3090</v>
      </c>
      <c r="J226" s="45" t="str">
        <f t="shared" si="6"/>
        <v>GoldXstrata</v>
      </c>
      <c r="K226" s="45" t="str">
        <f t="shared" si="7"/>
        <v>GoldXstrata</v>
      </c>
      <c r="L226" s="243"/>
    </row>
    <row r="227" spans="1:12" ht="10.5" customHeight="1">
      <c r="A227" s="297" t="s">
        <v>2290</v>
      </c>
      <c r="B227" s="297" t="s">
        <v>4067</v>
      </c>
      <c r="C227" s="297" t="s">
        <v>4067</v>
      </c>
      <c r="D227" s="297" t="s">
        <v>2217</v>
      </c>
      <c r="E227" s="297" t="s">
        <v>1310</v>
      </c>
      <c r="F227" s="297" t="s">
        <v>3060</v>
      </c>
      <c r="G227" s="297"/>
      <c r="H227" s="297" t="s">
        <v>3136</v>
      </c>
      <c r="I227" s="297" t="s">
        <v>3137</v>
      </c>
      <c r="J227" s="45" t="str">
        <f t="shared" si="6"/>
        <v>GoldYamamoto Precious Metal Co., Ltd.</v>
      </c>
      <c r="K227" s="45" t="str">
        <f t="shared" si="7"/>
        <v>GoldYamamoto Precious Metal Co., Ltd.</v>
      </c>
      <c r="L227" s="243"/>
    </row>
    <row r="228" spans="1:12" ht="10.5" customHeight="1">
      <c r="A228" s="297" t="s">
        <v>2290</v>
      </c>
      <c r="B228" s="297" t="s">
        <v>3259</v>
      </c>
      <c r="C228" s="297" t="s">
        <v>4067</v>
      </c>
      <c r="D228" s="297" t="s">
        <v>2217</v>
      </c>
      <c r="E228" s="297" t="s">
        <v>1310</v>
      </c>
      <c r="F228" s="297" t="s">
        <v>3060</v>
      </c>
      <c r="G228" s="297"/>
      <c r="H228" s="297" t="s">
        <v>3136</v>
      </c>
      <c r="I228" s="297" t="s">
        <v>3137</v>
      </c>
      <c r="J228" s="45" t="str">
        <f t="shared" si="6"/>
        <v>GoldYamamoto Precision Metals</v>
      </c>
      <c r="K228" s="45" t="str">
        <f t="shared" si="7"/>
        <v>GoldYamamoto Precision Metals</v>
      </c>
      <c r="L228" s="243"/>
    </row>
    <row r="229" spans="1:12" ht="10.5" customHeight="1">
      <c r="A229" s="297" t="s">
        <v>2290</v>
      </c>
      <c r="B229" s="297" t="s">
        <v>3122</v>
      </c>
      <c r="C229" s="297" t="s">
        <v>3118</v>
      </c>
      <c r="D229" s="297" t="s">
        <v>2150</v>
      </c>
      <c r="E229" s="297" t="s">
        <v>3119</v>
      </c>
      <c r="F229" s="297" t="s">
        <v>3060</v>
      </c>
      <c r="G229" s="297"/>
      <c r="H229" s="297" t="s">
        <v>3120</v>
      </c>
      <c r="I229" s="297" t="s">
        <v>3199</v>
      </c>
      <c r="J229" s="45" t="str">
        <f t="shared" si="6"/>
        <v>GoldYantai NUS Safina tech environmental Refinery Co. Ltd.</v>
      </c>
      <c r="K229" s="45" t="str">
        <f t="shared" si="7"/>
        <v>GoldYantai NUS Safina tech environmental Refinery Co. Ltd.</v>
      </c>
      <c r="L229" s="243"/>
    </row>
    <row r="230" spans="1:12" ht="10.5" customHeight="1">
      <c r="A230" s="297" t="s">
        <v>2290</v>
      </c>
      <c r="B230" s="297" t="s">
        <v>4068</v>
      </c>
      <c r="C230" s="297" t="s">
        <v>4068</v>
      </c>
      <c r="D230" s="297" t="s">
        <v>2217</v>
      </c>
      <c r="E230" s="297" t="s">
        <v>1311</v>
      </c>
      <c r="F230" s="297" t="s">
        <v>3060</v>
      </c>
      <c r="G230" s="297"/>
      <c r="H230" s="297" t="s">
        <v>3260</v>
      </c>
      <c r="I230" s="297" t="s">
        <v>3235</v>
      </c>
      <c r="J230" s="45" t="str">
        <f t="shared" si="6"/>
        <v>GoldYokohama Metal Co., Ltd.</v>
      </c>
      <c r="K230" s="45" t="str">
        <f t="shared" si="7"/>
        <v>GoldYokohama Metal Co., Ltd.</v>
      </c>
      <c r="L230" s="243"/>
    </row>
    <row r="231" spans="1:12" ht="10.5" customHeight="1">
      <c r="A231" s="297" t="s">
        <v>2290</v>
      </c>
      <c r="B231" s="297" t="s">
        <v>4038</v>
      </c>
      <c r="C231" s="297" t="s">
        <v>4038</v>
      </c>
      <c r="D231" s="297" t="s">
        <v>2150</v>
      </c>
      <c r="E231" s="297" t="s">
        <v>1312</v>
      </c>
      <c r="F231" s="297" t="s">
        <v>3060</v>
      </c>
      <c r="G231" s="297"/>
      <c r="H231" s="297" t="s">
        <v>3095</v>
      </c>
      <c r="I231" s="297" t="s">
        <v>3096</v>
      </c>
      <c r="J231" s="45" t="str">
        <f t="shared" si="6"/>
        <v>GoldYunnan Copper Industry Co., Ltd.</v>
      </c>
      <c r="K231" s="45" t="str">
        <f t="shared" si="7"/>
        <v>GoldYunnan Copper Industry Co., Ltd.</v>
      </c>
      <c r="L231" s="243"/>
    </row>
    <row r="232" spans="1:12" ht="10.5" customHeight="1">
      <c r="A232" s="297" t="s">
        <v>2290</v>
      </c>
      <c r="B232" s="297" t="s">
        <v>46</v>
      </c>
      <c r="C232" s="297" t="s">
        <v>4060</v>
      </c>
      <c r="D232" s="297" t="s">
        <v>2150</v>
      </c>
      <c r="E232" s="297" t="s">
        <v>1293</v>
      </c>
      <c r="F232" s="297" t="s">
        <v>3060</v>
      </c>
      <c r="G232" s="297"/>
      <c r="H232" s="297" t="s">
        <v>3120</v>
      </c>
      <c r="I232" s="297" t="s">
        <v>3199</v>
      </c>
      <c r="J232" s="45" t="str">
        <f t="shared" si="6"/>
        <v>GoldZhao Jin Mining Industry Co Ltd</v>
      </c>
      <c r="K232" s="45" t="str">
        <f t="shared" si="7"/>
        <v>GoldZhao Jin Mining Industry Co Ltd</v>
      </c>
      <c r="L232" s="243"/>
    </row>
    <row r="233" spans="1:12" ht="10.5" customHeight="1">
      <c r="A233" s="297" t="s">
        <v>2290</v>
      </c>
      <c r="B233" s="297" t="s">
        <v>47</v>
      </c>
      <c r="C233" s="297" t="s">
        <v>4060</v>
      </c>
      <c r="D233" s="297" t="s">
        <v>2150</v>
      </c>
      <c r="E233" s="297" t="s">
        <v>1293</v>
      </c>
      <c r="F233" s="297" t="s">
        <v>3060</v>
      </c>
      <c r="G233" s="297"/>
      <c r="H233" s="297" t="s">
        <v>3120</v>
      </c>
      <c r="I233" s="297" t="s">
        <v>3199</v>
      </c>
      <c r="J233" s="45" t="str">
        <f t="shared" si="6"/>
        <v>GoldZhao Yuan Gold Mine</v>
      </c>
      <c r="K233" s="45" t="str">
        <f t="shared" si="7"/>
        <v>GoldZhao Yuan Gold Mine</v>
      </c>
      <c r="L233" s="243"/>
    </row>
    <row r="234" spans="1:12" ht="10.5" customHeight="1">
      <c r="A234" s="297" t="s">
        <v>2290</v>
      </c>
      <c r="B234" s="297" t="s">
        <v>3263</v>
      </c>
      <c r="C234" s="297" t="s">
        <v>4060</v>
      </c>
      <c r="D234" s="297" t="s">
        <v>2150</v>
      </c>
      <c r="E234" s="297" t="s">
        <v>1293</v>
      </c>
      <c r="F234" s="297" t="s">
        <v>3060</v>
      </c>
      <c r="G234" s="297"/>
      <c r="H234" s="297" t="s">
        <v>3120</v>
      </c>
      <c r="I234" s="297" t="s">
        <v>3199</v>
      </c>
      <c r="J234" s="45" t="str">
        <f t="shared" si="6"/>
        <v>GoldZhao Yuan Gold Smelter of ZhongJin</v>
      </c>
      <c r="K234" s="45" t="str">
        <f t="shared" si="7"/>
        <v>GoldZhao Yuan Gold Smelter of ZhongJin</v>
      </c>
      <c r="L234" s="243"/>
    </row>
    <row r="235" spans="1:12" ht="10.5" customHeight="1">
      <c r="A235" s="297" t="s">
        <v>2290</v>
      </c>
      <c r="B235" s="297" t="s">
        <v>48</v>
      </c>
      <c r="C235" s="297" t="s">
        <v>4060</v>
      </c>
      <c r="D235" s="297" t="s">
        <v>2150</v>
      </c>
      <c r="E235" s="297" t="s">
        <v>1293</v>
      </c>
      <c r="F235" s="297" t="s">
        <v>3060</v>
      </c>
      <c r="G235" s="297"/>
      <c r="H235" s="297" t="s">
        <v>3120</v>
      </c>
      <c r="I235" s="297" t="s">
        <v>3199</v>
      </c>
      <c r="J235" s="45" t="str">
        <f t="shared" si="6"/>
        <v>GoldZhao Yuan Jin Kuang</v>
      </c>
      <c r="K235" s="45" t="str">
        <f t="shared" si="7"/>
        <v>GoldZhao Yuan Jin Kuang</v>
      </c>
      <c r="L235" s="243"/>
    </row>
    <row r="236" spans="1:12" ht="10.5" customHeight="1">
      <c r="A236" s="297" t="s">
        <v>2290</v>
      </c>
      <c r="B236" s="297" t="s">
        <v>3224</v>
      </c>
      <c r="C236" s="297" t="s">
        <v>4060</v>
      </c>
      <c r="D236" s="297" t="s">
        <v>2150</v>
      </c>
      <c r="E236" s="297" t="s">
        <v>1293</v>
      </c>
      <c r="F236" s="297" t="s">
        <v>3060</v>
      </c>
      <c r="G236" s="297"/>
      <c r="H236" s="297" t="s">
        <v>3120</v>
      </c>
      <c r="I236" s="297" t="s">
        <v>3199</v>
      </c>
      <c r="J236" s="45" t="str">
        <f t="shared" si="6"/>
        <v>GoldZhaojin Mining Industry Co., Ltd.</v>
      </c>
      <c r="K236" s="45" t="str">
        <f t="shared" si="7"/>
        <v>GoldZhaojin Mining Industry Co., Ltd.</v>
      </c>
      <c r="L236" s="243"/>
    </row>
    <row r="237" spans="1:12" ht="10.5" customHeight="1">
      <c r="A237" s="297" t="s">
        <v>2290</v>
      </c>
      <c r="B237" s="297" t="s">
        <v>3264</v>
      </c>
      <c r="C237" s="297" t="s">
        <v>4060</v>
      </c>
      <c r="D237" s="297" t="s">
        <v>2150</v>
      </c>
      <c r="E237" s="297" t="s">
        <v>1293</v>
      </c>
      <c r="F237" s="297" t="s">
        <v>3060</v>
      </c>
      <c r="G237" s="297"/>
      <c r="H237" s="297" t="s">
        <v>3120</v>
      </c>
      <c r="I237" s="297" t="s">
        <v>3199</v>
      </c>
      <c r="J237" s="45" t="str">
        <f t="shared" si="6"/>
        <v>GoldZhaoyuan Gold Group</v>
      </c>
      <c r="K237" s="45" t="str">
        <f t="shared" si="7"/>
        <v>GoldZhaoyuan Gold Group</v>
      </c>
      <c r="L237" s="243"/>
    </row>
    <row r="238" spans="1:12" ht="10.5" customHeight="1">
      <c r="A238" s="297" t="s">
        <v>2290</v>
      </c>
      <c r="B238" s="297" t="s">
        <v>2425</v>
      </c>
      <c r="C238" s="297" t="s">
        <v>2540</v>
      </c>
      <c r="D238" s="297" t="s">
        <v>2150</v>
      </c>
      <c r="E238" s="297" t="s">
        <v>1313</v>
      </c>
      <c r="F238" s="297" t="s">
        <v>3060</v>
      </c>
      <c r="G238" s="297"/>
      <c r="H238" s="297" t="s">
        <v>3261</v>
      </c>
      <c r="I238" s="297" t="s">
        <v>3159</v>
      </c>
      <c r="J238" s="45" t="str">
        <f t="shared" si="6"/>
        <v>GoldZhongjin Gold Corporation Limited</v>
      </c>
      <c r="K238" s="45" t="str">
        <f t="shared" si="7"/>
        <v>GoldZhongjin Gold Corporation Limited</v>
      </c>
      <c r="L238" s="243"/>
    </row>
    <row r="239" spans="1:12" ht="10.5" customHeight="1">
      <c r="A239" s="297" t="s">
        <v>2290</v>
      </c>
      <c r="B239" s="297" t="s">
        <v>2540</v>
      </c>
      <c r="C239" s="297" t="s">
        <v>2540</v>
      </c>
      <c r="D239" s="297" t="s">
        <v>2150</v>
      </c>
      <c r="E239" s="297" t="s">
        <v>1313</v>
      </c>
      <c r="F239" s="297" t="s">
        <v>3060</v>
      </c>
      <c r="G239" s="297"/>
      <c r="H239" s="297" t="s">
        <v>3261</v>
      </c>
      <c r="I239" s="297" t="s">
        <v>3159</v>
      </c>
      <c r="J239" s="45" t="str">
        <f t="shared" si="6"/>
        <v>GoldZhongyuan Gold Smelter of Zhongjin Gold Corporation</v>
      </c>
      <c r="K239" s="45" t="str">
        <f t="shared" si="7"/>
        <v>GoldZhongyuan Gold Smelter of Zhongjin Gold Corporation</v>
      </c>
      <c r="L239" s="243"/>
    </row>
    <row r="240" spans="1:12" ht="10.5" customHeight="1">
      <c r="A240" s="297" t="s">
        <v>2290</v>
      </c>
      <c r="B240" s="297" t="s">
        <v>49</v>
      </c>
      <c r="C240" s="297" t="s">
        <v>4175</v>
      </c>
      <c r="D240" s="297" t="s">
        <v>2150</v>
      </c>
      <c r="E240" s="297" t="s">
        <v>1314</v>
      </c>
      <c r="F240" s="297" t="s">
        <v>3060</v>
      </c>
      <c r="G240" s="297"/>
      <c r="H240" s="297" t="s">
        <v>3266</v>
      </c>
      <c r="I240" s="297" t="s">
        <v>3267</v>
      </c>
      <c r="J240" s="45" t="str">
        <f t="shared" si="6"/>
        <v>GoldZijin Kuang Ye Refinery</v>
      </c>
      <c r="K240" s="45" t="str">
        <f t="shared" si="7"/>
        <v>GoldZijin Kuang Ye Refinery</v>
      </c>
      <c r="L240" s="243"/>
    </row>
    <row r="241" spans="1:12" ht="10.5" customHeight="1">
      <c r="A241" s="297" t="s">
        <v>2290</v>
      </c>
      <c r="B241" s="297" t="s">
        <v>4175</v>
      </c>
      <c r="C241" s="297" t="s">
        <v>4175</v>
      </c>
      <c r="D241" s="297" t="s">
        <v>2150</v>
      </c>
      <c r="E241" s="297" t="s">
        <v>1314</v>
      </c>
      <c r="F241" s="297" t="s">
        <v>3060</v>
      </c>
      <c r="G241" s="297"/>
      <c r="H241" s="297" t="s">
        <v>3266</v>
      </c>
      <c r="I241" s="297" t="s">
        <v>3267</v>
      </c>
      <c r="J241" s="45" t="str">
        <f t="shared" si="6"/>
        <v>GoldZijin Mining Group Co., Ltd. Gold Refinery</v>
      </c>
      <c r="K241" s="45" t="str">
        <f t="shared" si="7"/>
        <v>GoldZijin Mining Group Co., Ltd. Gold Refinery</v>
      </c>
      <c r="L241" s="243"/>
    </row>
    <row r="242" spans="1:12" ht="10.5" customHeight="1">
      <c r="A242" s="297" t="s">
        <v>2290</v>
      </c>
      <c r="B242" s="297" t="s">
        <v>3268</v>
      </c>
      <c r="C242" s="297" t="s">
        <v>4175</v>
      </c>
      <c r="D242" s="297" t="s">
        <v>2150</v>
      </c>
      <c r="E242" s="297" t="s">
        <v>1314</v>
      </c>
      <c r="F242" s="297" t="s">
        <v>3060</v>
      </c>
      <c r="G242" s="297"/>
      <c r="H242" s="297" t="s">
        <v>3266</v>
      </c>
      <c r="I242" s="297" t="s">
        <v>3267</v>
      </c>
      <c r="J242" s="45" t="str">
        <f t="shared" si="6"/>
        <v>GoldZijin Mining Industry Corporation</v>
      </c>
      <c r="K242" s="45" t="str">
        <f t="shared" si="7"/>
        <v>GoldZijin Mining Industry Corporation</v>
      </c>
      <c r="L242" s="243"/>
    </row>
    <row r="243" spans="1:12" ht="10.5" customHeight="1">
      <c r="A243" s="243" t="s">
        <v>2290</v>
      </c>
      <c r="B243" s="243" t="s">
        <v>3517</v>
      </c>
      <c r="C243" s="243"/>
      <c r="D243" s="243"/>
      <c r="E243" s="243"/>
      <c r="F243" s="243"/>
      <c r="G243" s="243"/>
      <c r="H243" s="243"/>
      <c r="I243" s="243"/>
      <c r="J243" s="45" t="str">
        <f t="shared" si="6"/>
        <v>GoldSmelter not listed</v>
      </c>
      <c r="K243" s="45" t="str">
        <f t="shared" si="7"/>
        <v>GoldSmelter not listed</v>
      </c>
    </row>
    <row r="244" spans="1:12" ht="10.5" customHeight="1">
      <c r="A244" s="243" t="s">
        <v>2290</v>
      </c>
      <c r="B244" s="243" t="s">
        <v>2538</v>
      </c>
      <c r="C244" s="243" t="s">
        <v>906</v>
      </c>
      <c r="D244" s="243" t="s">
        <v>906</v>
      </c>
      <c r="E244" s="243"/>
      <c r="F244" s="243"/>
      <c r="G244" s="243"/>
      <c r="H244" s="243"/>
      <c r="I244" s="243"/>
      <c r="J244" s="45" t="str">
        <f t="shared" si="6"/>
        <v>GoldSmelter not yet identified</v>
      </c>
      <c r="K244" s="45" t="str">
        <f t="shared" si="7"/>
        <v>GoldSmelter not yet identified</v>
      </c>
    </row>
    <row r="245" spans="1:12" ht="10.5" customHeight="1">
      <c r="A245" s="297" t="s">
        <v>2292</v>
      </c>
      <c r="B245" s="297" t="s">
        <v>3</v>
      </c>
      <c r="C245" s="297" t="s">
        <v>3</v>
      </c>
      <c r="D245" s="297" t="s">
        <v>2150</v>
      </c>
      <c r="E245" s="297" t="s">
        <v>1315</v>
      </c>
      <c r="F245" s="297" t="s">
        <v>3060</v>
      </c>
      <c r="G245" s="297"/>
      <c r="H245" s="297" t="s">
        <v>3129</v>
      </c>
      <c r="I245" s="297" t="s">
        <v>3121</v>
      </c>
      <c r="J245" s="45" t="str">
        <f t="shared" si="6"/>
        <v>TantalumChangsha South Tantalum Niobium Co., Ltd.</v>
      </c>
      <c r="K245" s="45" t="str">
        <f t="shared" si="7"/>
        <v>TantalumChangsha South Tantalum Niobium Co., Ltd.</v>
      </c>
      <c r="L245" s="243"/>
    </row>
    <row r="246" spans="1:12" ht="10.5" customHeight="1">
      <c r="A246" s="297" t="s">
        <v>2292</v>
      </c>
      <c r="B246" s="297" t="s">
        <v>3301</v>
      </c>
      <c r="C246" s="297" t="s">
        <v>3</v>
      </c>
      <c r="D246" s="297" t="s">
        <v>2150</v>
      </c>
      <c r="E246" s="297" t="s">
        <v>1315</v>
      </c>
      <c r="F246" s="297" t="s">
        <v>3060</v>
      </c>
      <c r="G246" s="297"/>
      <c r="H246" s="297" t="s">
        <v>3129</v>
      </c>
      <c r="I246" s="297" t="s">
        <v>3121</v>
      </c>
      <c r="J246" s="45" t="str">
        <f t="shared" si="6"/>
        <v>TantalumChangsha Southern</v>
      </c>
      <c r="K246" s="45" t="str">
        <f t="shared" si="7"/>
        <v>TantalumChangsha Southern</v>
      </c>
      <c r="L246" s="243"/>
    </row>
    <row r="247" spans="1:12" ht="10.5" customHeight="1">
      <c r="A247" s="297" t="s">
        <v>2292</v>
      </c>
      <c r="B247" s="297" t="s">
        <v>2341</v>
      </c>
      <c r="C247" s="297" t="s">
        <v>2341</v>
      </c>
      <c r="D247" s="297" t="s">
        <v>2150</v>
      </c>
      <c r="E247" s="297" t="s">
        <v>1316</v>
      </c>
      <c r="F247" s="297" t="s">
        <v>3060</v>
      </c>
      <c r="G247" s="297"/>
      <c r="H247" s="297" t="s">
        <v>3302</v>
      </c>
      <c r="I247" s="297" t="s">
        <v>3270</v>
      </c>
      <c r="J247" s="45" t="str">
        <f t="shared" si="6"/>
        <v>TantalumConghua Tantalum and Niobium Smeltry</v>
      </c>
      <c r="K247" s="45" t="str">
        <f t="shared" si="7"/>
        <v>TantalumConghua Tantalum and Niobium Smeltry</v>
      </c>
      <c r="L247" s="243"/>
    </row>
    <row r="248" spans="1:12" ht="10.5" customHeight="1">
      <c r="A248" s="297" t="s">
        <v>2292</v>
      </c>
      <c r="B248" s="297" t="s">
        <v>2649</v>
      </c>
      <c r="C248" s="297" t="s">
        <v>2649</v>
      </c>
      <c r="D248" s="297" t="s">
        <v>4880</v>
      </c>
      <c r="E248" s="297" t="s">
        <v>2650</v>
      </c>
      <c r="F248" s="297" t="s">
        <v>3060</v>
      </c>
      <c r="G248" s="297"/>
      <c r="H248" s="297" t="s">
        <v>3339</v>
      </c>
      <c r="I248" s="297" t="s">
        <v>3340</v>
      </c>
      <c r="J248" s="45" t="str">
        <f t="shared" si="6"/>
        <v>TantalumD Block Metals, LLC</v>
      </c>
      <c r="K248" s="45" t="str">
        <f t="shared" si="7"/>
        <v>TantalumD Block Metals, LLC</v>
      </c>
      <c r="L248" s="243"/>
    </row>
    <row r="249" spans="1:12" ht="10.5" customHeight="1">
      <c r="A249" s="297" t="s">
        <v>2292</v>
      </c>
      <c r="B249" s="297" t="s">
        <v>51</v>
      </c>
      <c r="C249" s="297" t="s">
        <v>2337</v>
      </c>
      <c r="D249" s="297" t="s">
        <v>2150</v>
      </c>
      <c r="E249" s="297" t="s">
        <v>1317</v>
      </c>
      <c r="F249" s="297" t="s">
        <v>3060</v>
      </c>
      <c r="G249" s="297"/>
      <c r="H249" s="297" t="s">
        <v>3303</v>
      </c>
      <c r="I249" s="297" t="s">
        <v>3270</v>
      </c>
      <c r="J249" s="45" t="str">
        <f t="shared" si="6"/>
        <v>TantalumDouluoshan Sapphire Rare Metal Co Ltd</v>
      </c>
      <c r="K249" s="45" t="str">
        <f t="shared" si="7"/>
        <v>TantalumDouluoshan Sapphire Rare Metal Co Ltd</v>
      </c>
      <c r="L249" s="243"/>
    </row>
    <row r="250" spans="1:12" ht="10.5" customHeight="1">
      <c r="A250" s="297" t="s">
        <v>2292</v>
      </c>
      <c r="B250" s="297" t="s">
        <v>2337</v>
      </c>
      <c r="C250" s="297" t="s">
        <v>2337</v>
      </c>
      <c r="D250" s="297" t="s">
        <v>2150</v>
      </c>
      <c r="E250" s="297" t="s">
        <v>1317</v>
      </c>
      <c r="F250" s="297" t="s">
        <v>3060</v>
      </c>
      <c r="G250" s="297"/>
      <c r="H250" s="297" t="s">
        <v>3303</v>
      </c>
      <c r="I250" s="297" t="s">
        <v>3270</v>
      </c>
      <c r="J250" s="45" t="str">
        <f t="shared" si="6"/>
        <v>TantalumDuoluoshan</v>
      </c>
      <c r="K250" s="45" t="str">
        <f t="shared" si="7"/>
        <v>TantalumDuoluoshan</v>
      </c>
      <c r="L250" s="243"/>
    </row>
    <row r="251" spans="1:12" ht="10.5" customHeight="1">
      <c r="A251" s="297" t="s">
        <v>2292</v>
      </c>
      <c r="B251" s="297" t="s">
        <v>4234</v>
      </c>
      <c r="C251" s="297" t="s">
        <v>4234</v>
      </c>
      <c r="D251" s="297" t="s">
        <v>4880</v>
      </c>
      <c r="E251" s="297" t="s">
        <v>4235</v>
      </c>
      <c r="F251" s="297" t="s">
        <v>3060</v>
      </c>
      <c r="G251" s="297"/>
      <c r="H251" s="297" t="s">
        <v>4236</v>
      </c>
      <c r="I251" s="297" t="s">
        <v>4237</v>
      </c>
      <c r="J251" s="45" t="str">
        <f t="shared" si="6"/>
        <v>TantalumE.S.R. Electronics</v>
      </c>
      <c r="K251" s="45" t="str">
        <f t="shared" si="7"/>
        <v>TantalumE.S.R. Electronics</v>
      </c>
      <c r="L251" s="243"/>
    </row>
    <row r="252" spans="1:12" ht="10.5" customHeight="1">
      <c r="A252" s="297" t="s">
        <v>2292</v>
      </c>
      <c r="B252" s="297" t="s">
        <v>2274</v>
      </c>
      <c r="C252" s="297" t="s">
        <v>2274</v>
      </c>
      <c r="D252" s="297" t="s">
        <v>4880</v>
      </c>
      <c r="E252" s="297" t="s">
        <v>1318</v>
      </c>
      <c r="F252" s="297" t="s">
        <v>3060</v>
      </c>
      <c r="G252" s="297"/>
      <c r="H252" s="297" t="s">
        <v>3304</v>
      </c>
      <c r="I252" s="297" t="s">
        <v>3279</v>
      </c>
      <c r="J252" s="45" t="str">
        <f t="shared" si="6"/>
        <v>TantalumExotech Inc.</v>
      </c>
      <c r="K252" s="45" t="str">
        <f t="shared" si="7"/>
        <v>TantalumExotech Inc.</v>
      </c>
      <c r="L252" s="243"/>
    </row>
    <row r="253" spans="1:12" ht="10.5" customHeight="1">
      <c r="A253" s="297" t="s">
        <v>2292</v>
      </c>
      <c r="B253" s="297" t="s">
        <v>3306</v>
      </c>
      <c r="C253" s="297" t="s">
        <v>62</v>
      </c>
      <c r="D253" s="297" t="s">
        <v>2150</v>
      </c>
      <c r="E253" s="297" t="s">
        <v>1319</v>
      </c>
      <c r="F253" s="297" t="s">
        <v>3060</v>
      </c>
      <c r="G253" s="297"/>
      <c r="H253" s="297" t="s">
        <v>3305</v>
      </c>
      <c r="I253" s="297" t="s">
        <v>3270</v>
      </c>
      <c r="J253" s="45" t="str">
        <f t="shared" si="6"/>
        <v>TantalumF &amp; X</v>
      </c>
      <c r="K253" s="45" t="str">
        <f t="shared" si="7"/>
        <v>TantalumF &amp; X</v>
      </c>
      <c r="L253" s="243"/>
    </row>
    <row r="254" spans="1:12" ht="10.5" customHeight="1">
      <c r="A254" s="297" t="s">
        <v>2292</v>
      </c>
      <c r="B254" s="297" t="s">
        <v>62</v>
      </c>
      <c r="C254" s="297" t="s">
        <v>62</v>
      </c>
      <c r="D254" s="297" t="s">
        <v>2150</v>
      </c>
      <c r="E254" s="297" t="s">
        <v>1319</v>
      </c>
      <c r="F254" s="297" t="s">
        <v>3060</v>
      </c>
      <c r="G254" s="297"/>
      <c r="H254" s="297" t="s">
        <v>3305</v>
      </c>
      <c r="I254" s="297" t="s">
        <v>3270</v>
      </c>
      <c r="J254" s="45" t="str">
        <f t="shared" si="6"/>
        <v>TantalumF&amp;X Electro-Materials Ltd.</v>
      </c>
      <c r="K254" s="45" t="str">
        <f t="shared" si="7"/>
        <v>TantalumF&amp;X Electro-Materials Ltd.</v>
      </c>
      <c r="L254" s="243"/>
    </row>
    <row r="255" spans="1:12" ht="10.5" customHeight="1">
      <c r="A255" s="297" t="s">
        <v>2292</v>
      </c>
      <c r="B255" s="297" t="s">
        <v>4073</v>
      </c>
      <c r="C255" s="297" t="s">
        <v>4073</v>
      </c>
      <c r="D255" s="297" t="s">
        <v>2150</v>
      </c>
      <c r="E255" s="297" t="s">
        <v>2651</v>
      </c>
      <c r="F255" s="297" t="s">
        <v>3060</v>
      </c>
      <c r="G255" s="297"/>
      <c r="H255" s="297" t="s">
        <v>3326</v>
      </c>
      <c r="I255" s="297" t="s">
        <v>3121</v>
      </c>
      <c r="J255" s="45" t="str">
        <f t="shared" si="6"/>
        <v>TantalumFIR Metals &amp; Resource Ltd.</v>
      </c>
      <c r="K255" s="45" t="str">
        <f t="shared" si="7"/>
        <v>TantalumFIR Metals &amp; Resource Ltd.</v>
      </c>
      <c r="L255" s="243"/>
    </row>
    <row r="256" spans="1:12" ht="10.5" customHeight="1">
      <c r="A256" s="297" t="s">
        <v>2292</v>
      </c>
      <c r="B256" s="297" t="s">
        <v>2681</v>
      </c>
      <c r="C256" s="297" t="s">
        <v>2681</v>
      </c>
      <c r="D256" s="297" t="s">
        <v>2217</v>
      </c>
      <c r="E256" s="297" t="s">
        <v>2682</v>
      </c>
      <c r="F256" s="297" t="s">
        <v>3060</v>
      </c>
      <c r="G256" s="297"/>
      <c r="H256" s="297" t="s">
        <v>3360</v>
      </c>
      <c r="I256" s="297" t="s">
        <v>3078</v>
      </c>
      <c r="J256" s="45" t="str">
        <f t="shared" si="6"/>
        <v>TantalumGlobal Advanced Metals Aizu</v>
      </c>
      <c r="K256" s="45" t="str">
        <f t="shared" si="7"/>
        <v>TantalumGlobal Advanced Metals Aizu</v>
      </c>
      <c r="L256" s="243"/>
    </row>
    <row r="257" spans="1:12" ht="10.5" customHeight="1">
      <c r="A257" s="297" t="s">
        <v>2292</v>
      </c>
      <c r="B257" s="297" t="s">
        <v>2683</v>
      </c>
      <c r="C257" s="297" t="s">
        <v>2683</v>
      </c>
      <c r="D257" s="297" t="s">
        <v>4880</v>
      </c>
      <c r="E257" s="297" t="s">
        <v>2684</v>
      </c>
      <c r="F257" s="297" t="s">
        <v>3060</v>
      </c>
      <c r="G257" s="297"/>
      <c r="H257" s="297" t="s">
        <v>3359</v>
      </c>
      <c r="I257" s="297" t="s">
        <v>3332</v>
      </c>
      <c r="J257" s="45" t="str">
        <f t="shared" si="6"/>
        <v>TantalumGlobal Advanced Metals Boyertown</v>
      </c>
      <c r="K257" s="45" t="str">
        <f t="shared" si="7"/>
        <v>TantalumGlobal Advanced Metals Boyertown</v>
      </c>
      <c r="L257" s="243"/>
    </row>
    <row r="258" spans="1:12" ht="10.5" customHeight="1">
      <c r="A258" s="297" t="s">
        <v>2292</v>
      </c>
      <c r="B258" s="297" t="s">
        <v>1320</v>
      </c>
      <c r="C258" s="297" t="s">
        <v>1320</v>
      </c>
      <c r="D258" s="297" t="s">
        <v>2150</v>
      </c>
      <c r="E258" s="297" t="s">
        <v>1321</v>
      </c>
      <c r="F258" s="297" t="s">
        <v>3060</v>
      </c>
      <c r="G258" s="297"/>
      <c r="H258" s="297" t="s">
        <v>3307</v>
      </c>
      <c r="I258" s="297" t="s">
        <v>3270</v>
      </c>
      <c r="J258" s="45" t="str">
        <f t="shared" si="6"/>
        <v>TantalumGuangdong Zhiyuan New Material Co., Ltd.</v>
      </c>
      <c r="K258" s="45" t="str">
        <f t="shared" si="7"/>
        <v>TantalumGuangdong Zhiyuan New Material Co., Ltd.</v>
      </c>
      <c r="L258" s="243"/>
    </row>
    <row r="259" spans="1:12" ht="10.5" customHeight="1">
      <c r="A259" s="297" t="s">
        <v>2292</v>
      </c>
      <c r="B259" s="297" t="s">
        <v>2685</v>
      </c>
      <c r="C259" s="297" t="s">
        <v>2685</v>
      </c>
      <c r="D259" s="297" t="s">
        <v>1716</v>
      </c>
      <c r="E259" s="297" t="s">
        <v>2686</v>
      </c>
      <c r="F259" s="297" t="s">
        <v>3060</v>
      </c>
      <c r="G259" s="297"/>
      <c r="H259" s="297" t="s">
        <v>3347</v>
      </c>
      <c r="I259" s="297" t="s">
        <v>3348</v>
      </c>
      <c r="J259" s="45" t="str">
        <f t="shared" si="6"/>
        <v>TantalumH.C. Starck Co., Ltd.</v>
      </c>
      <c r="K259" s="45" t="str">
        <f t="shared" si="7"/>
        <v>TantalumH.C. Starck Co., Ltd.</v>
      </c>
      <c r="L259" s="243"/>
    </row>
    <row r="260" spans="1:12" ht="10.5" customHeight="1">
      <c r="A260" s="297" t="s">
        <v>2292</v>
      </c>
      <c r="B260" s="297" t="s">
        <v>2687</v>
      </c>
      <c r="C260" s="297" t="s">
        <v>2687</v>
      </c>
      <c r="D260" s="297" t="s">
        <v>2164</v>
      </c>
      <c r="E260" s="297" t="s">
        <v>2688</v>
      </c>
      <c r="F260" s="297" t="s">
        <v>3060</v>
      </c>
      <c r="G260" s="297"/>
      <c r="H260" s="297" t="s">
        <v>3349</v>
      </c>
      <c r="I260" s="297" t="s">
        <v>3350</v>
      </c>
      <c r="J260" s="45" t="str">
        <f t="shared" si="6"/>
        <v>TantalumH.C. Starck GmbH Goslar</v>
      </c>
      <c r="K260" s="45" t="str">
        <f t="shared" si="7"/>
        <v>TantalumH.C. Starck GmbH Goslar</v>
      </c>
      <c r="L260" s="243"/>
    </row>
    <row r="261" spans="1:12" ht="10.5" customHeight="1">
      <c r="A261" s="297" t="s">
        <v>2292</v>
      </c>
      <c r="B261" s="297" t="s">
        <v>2689</v>
      </c>
      <c r="C261" s="297" t="s">
        <v>2689</v>
      </c>
      <c r="D261" s="297" t="s">
        <v>2164</v>
      </c>
      <c r="E261" s="297" t="s">
        <v>2690</v>
      </c>
      <c r="F261" s="297" t="s">
        <v>3060</v>
      </c>
      <c r="G261" s="297"/>
      <c r="H261" s="297" t="s">
        <v>3351</v>
      </c>
      <c r="I261" s="297" t="s">
        <v>3066</v>
      </c>
      <c r="J261" s="45" t="str">
        <f t="shared" si="6"/>
        <v>TantalumH.C. Starck GmbH Laufenburg</v>
      </c>
      <c r="K261" s="45" t="str">
        <f t="shared" si="7"/>
        <v>TantalumH.C. Starck GmbH Laufenburg</v>
      </c>
      <c r="L261" s="243"/>
    </row>
    <row r="262" spans="1:12" ht="10.5" customHeight="1">
      <c r="A262" s="297" t="s">
        <v>2292</v>
      </c>
      <c r="B262" s="297" t="s">
        <v>2691</v>
      </c>
      <c r="C262" s="297" t="s">
        <v>2691</v>
      </c>
      <c r="D262" s="297" t="s">
        <v>2164</v>
      </c>
      <c r="E262" s="297" t="s">
        <v>2692</v>
      </c>
      <c r="F262" s="297" t="s">
        <v>3060</v>
      </c>
      <c r="G262" s="297"/>
      <c r="H262" s="297" t="s">
        <v>3352</v>
      </c>
      <c r="I262" s="297" t="s">
        <v>3353</v>
      </c>
      <c r="J262" s="45" t="str">
        <f t="shared" si="6"/>
        <v>TantalumH.C. Starck Hermsdorf GmbH</v>
      </c>
      <c r="K262" s="45" t="str">
        <f t="shared" si="7"/>
        <v>TantalumH.C. Starck Hermsdorf GmbH</v>
      </c>
      <c r="L262" s="243"/>
    </row>
    <row r="263" spans="1:12" ht="10.5" customHeight="1">
      <c r="A263" s="297" t="s">
        <v>2292</v>
      </c>
      <c r="B263" s="297" t="s">
        <v>2693</v>
      </c>
      <c r="C263" s="297" t="s">
        <v>2693</v>
      </c>
      <c r="D263" s="297" t="s">
        <v>4880</v>
      </c>
      <c r="E263" s="297" t="s">
        <v>2694</v>
      </c>
      <c r="F263" s="297" t="s">
        <v>3060</v>
      </c>
      <c r="G263" s="297"/>
      <c r="H263" s="297" t="s">
        <v>3354</v>
      </c>
      <c r="I263" s="297" t="s">
        <v>3177</v>
      </c>
      <c r="J263" s="45" t="str">
        <f t="shared" ref="J263:J329" si="8">A263&amp;B263</f>
        <v>TantalumH.C. Starck Inc.</v>
      </c>
      <c r="K263" s="45" t="str">
        <f t="shared" ref="K263:K329" si="9">A263&amp;B263</f>
        <v>TantalumH.C. Starck Inc.</v>
      </c>
      <c r="L263" s="243"/>
    </row>
    <row r="264" spans="1:12" ht="10.5" customHeight="1">
      <c r="A264" s="297" t="s">
        <v>2292</v>
      </c>
      <c r="B264" s="297" t="s">
        <v>2695</v>
      </c>
      <c r="C264" s="297" t="s">
        <v>2695</v>
      </c>
      <c r="D264" s="297" t="s">
        <v>2217</v>
      </c>
      <c r="E264" s="297" t="s">
        <v>2696</v>
      </c>
      <c r="F264" s="297" t="s">
        <v>3060</v>
      </c>
      <c r="G264" s="297"/>
      <c r="H264" s="297" t="s">
        <v>3355</v>
      </c>
      <c r="I264" s="297" t="s">
        <v>3356</v>
      </c>
      <c r="J264" s="45" t="str">
        <f t="shared" si="8"/>
        <v>TantalumH.C. Starck Ltd.</v>
      </c>
      <c r="K264" s="45" t="str">
        <f t="shared" si="9"/>
        <v>TantalumH.C. Starck Ltd.</v>
      </c>
      <c r="L264" s="243"/>
    </row>
    <row r="265" spans="1:12" ht="10.5" customHeight="1">
      <c r="A265" s="297" t="s">
        <v>2292</v>
      </c>
      <c r="B265" s="297" t="s">
        <v>4602</v>
      </c>
      <c r="C265" s="297" t="s">
        <v>4602</v>
      </c>
      <c r="D265" s="297" t="s">
        <v>2164</v>
      </c>
      <c r="E265" s="297" t="s">
        <v>2698</v>
      </c>
      <c r="F265" s="297" t="s">
        <v>3060</v>
      </c>
      <c r="G265" s="297"/>
      <c r="H265" s="297" t="s">
        <v>3351</v>
      </c>
      <c r="I265" s="297" t="s">
        <v>3066</v>
      </c>
      <c r="J265" s="45" t="str">
        <f t="shared" si="8"/>
        <v>TantalumH.C. Starck Smelting GmbH &amp; Co. KG</v>
      </c>
      <c r="K265" s="45" t="str">
        <f t="shared" si="9"/>
        <v>TantalumH.C. Starck Smelting GmbH &amp; Co. KG</v>
      </c>
      <c r="L265" s="243"/>
    </row>
    <row r="266" spans="1:12" ht="10.5" customHeight="1">
      <c r="A266" s="297" t="s">
        <v>2292</v>
      </c>
      <c r="B266" s="297" t="s">
        <v>4</v>
      </c>
      <c r="C266" s="297" t="s">
        <v>4</v>
      </c>
      <c r="D266" s="297" t="s">
        <v>2150</v>
      </c>
      <c r="E266" s="297" t="s">
        <v>713</v>
      </c>
      <c r="F266" s="297" t="s">
        <v>3060</v>
      </c>
      <c r="G266" s="297"/>
      <c r="H266" s="297" t="s">
        <v>3338</v>
      </c>
      <c r="I266" s="297" t="s">
        <v>3121</v>
      </c>
      <c r="J266" s="45" t="str">
        <f t="shared" si="8"/>
        <v>TantalumHengyang King Xing Lifeng New Materials Co., Ltd.</v>
      </c>
      <c r="K266" s="45" t="str">
        <f t="shared" si="9"/>
        <v>TantalumHengyang King Xing Lifeng New Materials Co., Ltd.</v>
      </c>
      <c r="L266" s="243"/>
    </row>
    <row r="267" spans="1:12" ht="10.5" customHeight="1">
      <c r="A267" s="297" t="s">
        <v>2292</v>
      </c>
      <c r="B267" s="297" t="s">
        <v>2277</v>
      </c>
      <c r="C267" s="297" t="s">
        <v>3308</v>
      </c>
      <c r="D267" s="297" t="s">
        <v>4880</v>
      </c>
      <c r="E267" s="297" t="s">
        <v>1322</v>
      </c>
      <c r="F267" s="297" t="s">
        <v>3060</v>
      </c>
      <c r="G267" s="297"/>
      <c r="H267" s="297" t="s">
        <v>3309</v>
      </c>
      <c r="I267" s="297" t="s">
        <v>3165</v>
      </c>
      <c r="J267" s="45" t="str">
        <f t="shared" si="8"/>
        <v>TantalumHi-Temp</v>
      </c>
      <c r="K267" s="45" t="str">
        <f t="shared" si="9"/>
        <v>TantalumHi-Temp</v>
      </c>
      <c r="L267" s="243"/>
    </row>
    <row r="268" spans="1:12" ht="10.5" customHeight="1">
      <c r="A268" s="297" t="s">
        <v>2292</v>
      </c>
      <c r="B268" s="297" t="s">
        <v>3308</v>
      </c>
      <c r="C268" s="297" t="s">
        <v>3308</v>
      </c>
      <c r="D268" s="297" t="s">
        <v>4880</v>
      </c>
      <c r="E268" s="297" t="s">
        <v>1322</v>
      </c>
      <c r="F268" s="297" t="s">
        <v>3060</v>
      </c>
      <c r="G268" s="297"/>
      <c r="H268" s="297" t="s">
        <v>3309</v>
      </c>
      <c r="I268" s="297" t="s">
        <v>3165</v>
      </c>
      <c r="J268" s="45" t="str">
        <f t="shared" si="8"/>
        <v>TantalumHi-Temp Specialty Metals, Inc.</v>
      </c>
      <c r="K268" s="45" t="str">
        <f t="shared" si="9"/>
        <v>TantalumHi-Temp Specialty Metals, Inc.</v>
      </c>
      <c r="L268" s="243"/>
    </row>
    <row r="269" spans="1:12" ht="10.5" customHeight="1">
      <c r="A269" s="297" t="s">
        <v>2292</v>
      </c>
      <c r="B269" s="297" t="s">
        <v>4077</v>
      </c>
      <c r="C269" s="297" t="s">
        <v>4077</v>
      </c>
      <c r="D269" s="297" t="s">
        <v>2150</v>
      </c>
      <c r="E269" s="297" t="s">
        <v>2652</v>
      </c>
      <c r="F269" s="297" t="s">
        <v>3060</v>
      </c>
      <c r="G269" s="297"/>
      <c r="H269" s="297" t="s">
        <v>3342</v>
      </c>
      <c r="I269" s="297" t="s">
        <v>3139</v>
      </c>
      <c r="J269" s="45" t="str">
        <f t="shared" si="8"/>
        <v>TantalumJiangxi Dinghai Tantalum &amp; Niobium Co., Ltd.</v>
      </c>
      <c r="K269" s="45" t="str">
        <f t="shared" si="9"/>
        <v>TantalumJiangxi Dinghai Tantalum &amp; Niobium Co., Ltd.</v>
      </c>
      <c r="L269" s="243"/>
    </row>
    <row r="270" spans="1:12" ht="10.5" customHeight="1">
      <c r="A270" s="297" t="s">
        <v>2292</v>
      </c>
      <c r="B270" s="297" t="s">
        <v>4253</v>
      </c>
      <c r="C270" s="297" t="s">
        <v>4253</v>
      </c>
      <c r="D270" s="297" t="s">
        <v>2150</v>
      </c>
      <c r="E270" s="297" t="s">
        <v>4254</v>
      </c>
      <c r="F270" s="297" t="s">
        <v>3060</v>
      </c>
      <c r="G270" s="297"/>
      <c r="H270" s="297" t="s">
        <v>3337</v>
      </c>
      <c r="I270" s="297" t="s">
        <v>3139</v>
      </c>
      <c r="J270" s="45" t="str">
        <f t="shared" si="8"/>
        <v>TantalumJiangxi Tuohong New Raw Material</v>
      </c>
      <c r="K270" s="45" t="str">
        <f t="shared" si="9"/>
        <v>TantalumJiangxi Tuohong New Raw Material</v>
      </c>
      <c r="L270" s="243"/>
    </row>
    <row r="271" spans="1:12" ht="10.5" customHeight="1">
      <c r="A271" s="297" t="s">
        <v>2292</v>
      </c>
      <c r="B271" s="297" t="s">
        <v>5</v>
      </c>
      <c r="C271" s="297" t="s">
        <v>5</v>
      </c>
      <c r="D271" s="297" t="s">
        <v>2150</v>
      </c>
      <c r="E271" s="297" t="s">
        <v>1323</v>
      </c>
      <c r="F271" s="297" t="s">
        <v>3060</v>
      </c>
      <c r="G271" s="297"/>
      <c r="H271" s="297" t="s">
        <v>3310</v>
      </c>
      <c r="I271" s="297" t="s">
        <v>3139</v>
      </c>
      <c r="J271" s="45" t="str">
        <f t="shared" si="8"/>
        <v>TantalumJiuJiang JinXin Nonferrous Metals Co., Ltd.</v>
      </c>
      <c r="K271" s="45" t="str">
        <f t="shared" si="9"/>
        <v>TantalumJiuJiang JinXin Nonferrous Metals Co., Ltd.</v>
      </c>
      <c r="L271" s="243"/>
    </row>
    <row r="272" spans="1:12" ht="10.5" customHeight="1">
      <c r="A272" s="297" t="s">
        <v>2292</v>
      </c>
      <c r="B272" s="297" t="s">
        <v>63</v>
      </c>
      <c r="C272" s="297" t="s">
        <v>63</v>
      </c>
      <c r="D272" s="297" t="s">
        <v>2150</v>
      </c>
      <c r="E272" s="297" t="s">
        <v>1324</v>
      </c>
      <c r="F272" s="297" t="s">
        <v>3060</v>
      </c>
      <c r="G272" s="297"/>
      <c r="H272" s="297" t="s">
        <v>3310</v>
      </c>
      <c r="I272" s="297" t="s">
        <v>3139</v>
      </c>
      <c r="J272" s="45" t="str">
        <f t="shared" si="8"/>
        <v>TantalumJiujiang Tanbre Co., Ltd.</v>
      </c>
      <c r="K272" s="45" t="str">
        <f t="shared" si="9"/>
        <v>TantalumJiujiang Tanbre Co., Ltd.</v>
      </c>
      <c r="L272" s="243"/>
    </row>
    <row r="273" spans="1:12" ht="10.5" customHeight="1">
      <c r="A273" s="297" t="s">
        <v>2292</v>
      </c>
      <c r="B273" s="297" t="s">
        <v>4074</v>
      </c>
      <c r="C273" s="297" t="s">
        <v>4074</v>
      </c>
      <c r="D273" s="297" t="s">
        <v>2150</v>
      </c>
      <c r="E273" s="297" t="s">
        <v>2653</v>
      </c>
      <c r="F273" s="297" t="s">
        <v>3060</v>
      </c>
      <c r="G273" s="297"/>
      <c r="H273" s="297" t="s">
        <v>3310</v>
      </c>
      <c r="I273" s="297" t="s">
        <v>3139</v>
      </c>
      <c r="J273" s="45" t="str">
        <f t="shared" si="8"/>
        <v>TantalumJiujiang Zhongao Tantalum &amp; Niobium Co., Ltd.</v>
      </c>
      <c r="K273" s="45" t="str">
        <f t="shared" si="9"/>
        <v>TantalumJiujiang Zhongao Tantalum &amp; Niobium Co., Ltd.</v>
      </c>
      <c r="L273" s="243"/>
    </row>
    <row r="274" spans="1:12" ht="10.5" customHeight="1">
      <c r="A274" s="297" t="s">
        <v>2292</v>
      </c>
      <c r="B274" s="297" t="s">
        <v>2699</v>
      </c>
      <c r="C274" s="297" t="s">
        <v>2699</v>
      </c>
      <c r="D274" s="297" t="s">
        <v>2243</v>
      </c>
      <c r="E274" s="297" t="s">
        <v>2700</v>
      </c>
      <c r="F274" s="297" t="s">
        <v>3060</v>
      </c>
      <c r="G274" s="297"/>
      <c r="H274" s="297" t="s">
        <v>3343</v>
      </c>
      <c r="I274" s="297" t="s">
        <v>3344</v>
      </c>
      <c r="J274" s="45" t="str">
        <f t="shared" si="8"/>
        <v>TantalumKEMET Blue Metals</v>
      </c>
      <c r="K274" s="45" t="str">
        <f t="shared" si="9"/>
        <v>TantalumKEMET Blue Metals</v>
      </c>
      <c r="L274" s="243"/>
    </row>
    <row r="275" spans="1:12" ht="10.5" customHeight="1">
      <c r="A275" s="297" t="s">
        <v>2292</v>
      </c>
      <c r="B275" s="297" t="s">
        <v>2715</v>
      </c>
      <c r="C275" s="297" t="s">
        <v>2715</v>
      </c>
      <c r="D275" s="297" t="s">
        <v>4880</v>
      </c>
      <c r="E275" s="297" t="s">
        <v>2716</v>
      </c>
      <c r="F275" s="297" t="s">
        <v>3060</v>
      </c>
      <c r="G275" s="297"/>
      <c r="H275" s="297" t="s">
        <v>3361</v>
      </c>
      <c r="I275" s="297" t="s">
        <v>3362</v>
      </c>
      <c r="J275" s="45" t="str">
        <f t="shared" si="8"/>
        <v>TantalumKEMET Blue Powder</v>
      </c>
      <c r="K275" s="45" t="str">
        <f t="shared" si="9"/>
        <v>TantalumKEMET Blue Powder</v>
      </c>
      <c r="L275" s="243"/>
    </row>
    <row r="276" spans="1:12" ht="10.5" customHeight="1">
      <c r="A276" s="297" t="s">
        <v>2292</v>
      </c>
      <c r="B276" s="297" t="s">
        <v>4046</v>
      </c>
      <c r="C276" s="297" t="s">
        <v>4046</v>
      </c>
      <c r="D276" s="297" t="s">
        <v>2150</v>
      </c>
      <c r="E276" s="297" t="s">
        <v>1325</v>
      </c>
      <c r="F276" s="297" t="s">
        <v>3060</v>
      </c>
      <c r="G276" s="297"/>
      <c r="H276" s="297" t="s">
        <v>3311</v>
      </c>
      <c r="I276" s="297" t="s">
        <v>3139</v>
      </c>
      <c r="J276" s="45" t="str">
        <f t="shared" si="8"/>
        <v>TantalumKing-Tan Tantalum Industry Ltd.</v>
      </c>
      <c r="K276" s="45" t="str">
        <f t="shared" si="9"/>
        <v>TantalumKing-Tan Tantalum Industry Ltd.</v>
      </c>
      <c r="L276" s="243"/>
    </row>
    <row r="277" spans="1:12" ht="10.5" customHeight="1">
      <c r="A277" s="297" t="s">
        <v>2292</v>
      </c>
      <c r="B277" s="297" t="s">
        <v>64</v>
      </c>
      <c r="C277" s="297" t="s">
        <v>64</v>
      </c>
      <c r="D277" s="297" t="s">
        <v>2139</v>
      </c>
      <c r="E277" s="297" t="s">
        <v>1326</v>
      </c>
      <c r="F277" s="297" t="s">
        <v>3060</v>
      </c>
      <c r="G277" s="297"/>
      <c r="H277" s="297" t="s">
        <v>3312</v>
      </c>
      <c r="I277" s="297" t="s">
        <v>3071</v>
      </c>
      <c r="J277" s="45" t="str">
        <f t="shared" si="8"/>
        <v>TantalumLSM Brasil S.A.</v>
      </c>
      <c r="K277" s="45" t="str">
        <f t="shared" si="9"/>
        <v>TantalumLSM Brasil S.A.</v>
      </c>
      <c r="L277" s="243"/>
    </row>
    <row r="278" spans="1:12" ht="10.5" customHeight="1">
      <c r="A278" s="297" t="s">
        <v>2292</v>
      </c>
      <c r="B278" s="297" t="s">
        <v>3315</v>
      </c>
      <c r="C278" s="297" t="s">
        <v>4052</v>
      </c>
      <c r="D278" s="297" t="s">
        <v>2207</v>
      </c>
      <c r="E278" s="297" t="s">
        <v>1327</v>
      </c>
      <c r="F278" s="297" t="s">
        <v>3060</v>
      </c>
      <c r="G278" s="297"/>
      <c r="H278" s="297" t="s">
        <v>3313</v>
      </c>
      <c r="I278" s="297" t="s">
        <v>3314</v>
      </c>
      <c r="J278" s="45" t="str">
        <f t="shared" si="8"/>
        <v>TantalumMetallurgical Products India Pvt. Ltd. (MPIL)</v>
      </c>
      <c r="K278" s="45" t="str">
        <f t="shared" si="9"/>
        <v>TantalumMetallurgical Products India Pvt. Ltd. (MPIL)</v>
      </c>
      <c r="L278" s="243"/>
    </row>
    <row r="279" spans="1:12" ht="10.5" customHeight="1">
      <c r="A279" s="297" t="s">
        <v>2292</v>
      </c>
      <c r="B279" s="297" t="s">
        <v>4052</v>
      </c>
      <c r="C279" s="297" t="s">
        <v>4052</v>
      </c>
      <c r="D279" s="297" t="s">
        <v>2207</v>
      </c>
      <c r="E279" s="297" t="s">
        <v>1327</v>
      </c>
      <c r="F279" s="297" t="s">
        <v>3060</v>
      </c>
      <c r="G279" s="297"/>
      <c r="H279" s="297" t="s">
        <v>3313</v>
      </c>
      <c r="I279" s="297" t="s">
        <v>3314</v>
      </c>
      <c r="J279" s="45" t="str">
        <f t="shared" si="8"/>
        <v>TantalumMetallurgical Products India Pvt., Ltd.</v>
      </c>
      <c r="K279" s="45" t="str">
        <f t="shared" si="9"/>
        <v>TantalumMetallurgical Products India Pvt., Ltd.</v>
      </c>
      <c r="L279" s="243"/>
    </row>
    <row r="280" spans="1:12" ht="10.5" customHeight="1">
      <c r="A280" s="297" t="s">
        <v>2292</v>
      </c>
      <c r="B280" s="297" t="s">
        <v>1924</v>
      </c>
      <c r="C280" s="297" t="s">
        <v>1924</v>
      </c>
      <c r="D280" s="297" t="s">
        <v>2139</v>
      </c>
      <c r="E280" s="297" t="s">
        <v>1328</v>
      </c>
      <c r="F280" s="297" t="s">
        <v>3060</v>
      </c>
      <c r="G280" s="297"/>
      <c r="H280" s="297" t="s">
        <v>3316</v>
      </c>
      <c r="I280" s="297" t="s">
        <v>3317</v>
      </c>
      <c r="J280" s="45" t="str">
        <f t="shared" si="8"/>
        <v>TantalumMineração Taboca S.A.</v>
      </c>
      <c r="K280" s="45" t="str">
        <f t="shared" si="9"/>
        <v>TantalumMineração Taboca S.A.</v>
      </c>
      <c r="L280" s="243"/>
    </row>
    <row r="281" spans="1:12" ht="10.5" customHeight="1">
      <c r="A281" s="297" t="s">
        <v>2292</v>
      </c>
      <c r="B281" s="297" t="s">
        <v>2421</v>
      </c>
      <c r="C281" s="297" t="s">
        <v>2421</v>
      </c>
      <c r="D281" s="297" t="s">
        <v>2217</v>
      </c>
      <c r="E281" s="297" t="s">
        <v>1329</v>
      </c>
      <c r="F281" s="297" t="s">
        <v>3060</v>
      </c>
      <c r="G281" s="297"/>
      <c r="H281" s="297" t="s">
        <v>3318</v>
      </c>
      <c r="I281" s="297" t="s">
        <v>3319</v>
      </c>
      <c r="J281" s="45" t="str">
        <f t="shared" si="8"/>
        <v>TantalumMitsui Mining and Smelting Co., Ltd.</v>
      </c>
      <c r="K281" s="45" t="str">
        <f t="shared" si="9"/>
        <v>TantalumMitsui Mining and Smelting Co., Ltd.</v>
      </c>
      <c r="L281" s="243"/>
    </row>
    <row r="282" spans="1:12" ht="10.5" customHeight="1">
      <c r="A282" s="297" t="s">
        <v>2292</v>
      </c>
      <c r="B282" s="297" t="s">
        <v>2275</v>
      </c>
      <c r="C282" s="297" t="s">
        <v>2275</v>
      </c>
      <c r="D282" s="297" t="s">
        <v>2217</v>
      </c>
      <c r="E282" s="297" t="s">
        <v>1329</v>
      </c>
      <c r="F282" s="297" t="s">
        <v>3060</v>
      </c>
      <c r="G282" s="297"/>
      <c r="H282" s="297" t="s">
        <v>3318</v>
      </c>
      <c r="I282" s="297" t="s">
        <v>3319</v>
      </c>
      <c r="J282" s="45" t="str">
        <f t="shared" si="8"/>
        <v>TantalumMitsui Mining &amp; Smelting</v>
      </c>
      <c r="K282" s="45" t="str">
        <f t="shared" si="9"/>
        <v>TantalumMitsui Mining &amp; Smelting</v>
      </c>
      <c r="L282" s="243"/>
    </row>
    <row r="283" spans="1:12" ht="10.5" customHeight="1">
      <c r="A283" s="297" t="s">
        <v>2292</v>
      </c>
      <c r="B283" s="297" t="s">
        <v>65</v>
      </c>
      <c r="C283" s="297" t="s">
        <v>65</v>
      </c>
      <c r="D283" s="297" t="s">
        <v>2175</v>
      </c>
      <c r="E283" s="297" t="s">
        <v>1330</v>
      </c>
      <c r="F283" s="297" t="s">
        <v>3060</v>
      </c>
      <c r="G283" s="297"/>
      <c r="H283" s="297" t="s">
        <v>3320</v>
      </c>
      <c r="I283" s="297" t="s">
        <v>3321</v>
      </c>
      <c r="J283" s="45" t="str">
        <f t="shared" si="8"/>
        <v>TantalumMolycorp Silmet A.S.</v>
      </c>
      <c r="K283" s="45" t="str">
        <f t="shared" si="9"/>
        <v>TantalumMolycorp Silmet A.S.</v>
      </c>
      <c r="L283" s="243"/>
    </row>
    <row r="284" spans="1:12" ht="10.5" customHeight="1">
      <c r="A284" s="297" t="s">
        <v>2292</v>
      </c>
      <c r="B284" s="297" t="s">
        <v>1921</v>
      </c>
      <c r="C284" s="297" t="s">
        <v>1921</v>
      </c>
      <c r="D284" s="297" t="s">
        <v>2150</v>
      </c>
      <c r="E284" s="297" t="s">
        <v>1331</v>
      </c>
      <c r="F284" s="297" t="s">
        <v>3060</v>
      </c>
      <c r="G284" s="297"/>
      <c r="H284" s="297" t="s">
        <v>3322</v>
      </c>
      <c r="I284" s="297" t="s">
        <v>3323</v>
      </c>
      <c r="J284" s="45" t="str">
        <f t="shared" si="8"/>
        <v>TantalumNingxia Orient Tantalum Industry Co., Ltd.</v>
      </c>
      <c r="K284" s="45" t="str">
        <f t="shared" si="9"/>
        <v>TantalumNingxia Orient Tantalum Industry Co., Ltd.</v>
      </c>
      <c r="L284" s="243"/>
    </row>
    <row r="285" spans="1:12" ht="10.5" customHeight="1">
      <c r="A285" s="297" t="s">
        <v>2292</v>
      </c>
      <c r="B285" s="297" t="s">
        <v>2701</v>
      </c>
      <c r="C285" s="297" t="s">
        <v>2701</v>
      </c>
      <c r="D285" s="297" t="s">
        <v>2125</v>
      </c>
      <c r="E285" s="297" t="s">
        <v>2702</v>
      </c>
      <c r="F285" s="297" t="s">
        <v>3060</v>
      </c>
      <c r="G285" s="297"/>
      <c r="H285" s="297" t="s">
        <v>3345</v>
      </c>
      <c r="I285" s="297" t="s">
        <v>3346</v>
      </c>
      <c r="J285" s="45" t="str">
        <f t="shared" si="8"/>
        <v>TantalumPlansee SE Liezen</v>
      </c>
      <c r="K285" s="45" t="str">
        <f t="shared" si="9"/>
        <v>TantalumPlansee SE Liezen</v>
      </c>
      <c r="L285" s="243"/>
    </row>
    <row r="286" spans="1:12" ht="10.5" customHeight="1">
      <c r="A286" s="297" t="s">
        <v>2292</v>
      </c>
      <c r="B286" s="297" t="s">
        <v>2703</v>
      </c>
      <c r="C286" s="297" t="s">
        <v>2703</v>
      </c>
      <c r="D286" s="297" t="s">
        <v>2125</v>
      </c>
      <c r="E286" s="297" t="s">
        <v>2704</v>
      </c>
      <c r="F286" s="297" t="s">
        <v>3060</v>
      </c>
      <c r="G286" s="297"/>
      <c r="H286" s="297" t="s">
        <v>3357</v>
      </c>
      <c r="I286" s="297" t="s">
        <v>3358</v>
      </c>
      <c r="J286" s="45" t="str">
        <f t="shared" si="8"/>
        <v>TantalumPlansee SE Reutte</v>
      </c>
      <c r="K286" s="45" t="str">
        <f t="shared" si="9"/>
        <v>TantalumPlansee SE Reutte</v>
      </c>
      <c r="L286" s="243"/>
    </row>
    <row r="287" spans="1:12" ht="10.5" customHeight="1">
      <c r="A287" s="297" t="s">
        <v>2292</v>
      </c>
      <c r="B287" s="297" t="s">
        <v>4702</v>
      </c>
      <c r="C287" s="297" t="s">
        <v>4702</v>
      </c>
      <c r="D287" s="297" t="s">
        <v>4877</v>
      </c>
      <c r="E287" s="297" t="s">
        <v>4603</v>
      </c>
      <c r="F287" s="297" t="s">
        <v>3060</v>
      </c>
      <c r="G287" s="297"/>
      <c r="H287" s="297" t="s">
        <v>4634</v>
      </c>
      <c r="I287" s="297" t="s">
        <v>4635</v>
      </c>
      <c r="J287" s="45" t="str">
        <f t="shared" si="8"/>
        <v>TantalumPower Resources Ltd.</v>
      </c>
      <c r="K287" s="45" t="str">
        <f t="shared" si="9"/>
        <v>TantalumPower Resources Ltd.</v>
      </c>
      <c r="L287" s="243"/>
    </row>
    <row r="288" spans="1:12" ht="10.5" customHeight="1">
      <c r="A288" s="297" t="s">
        <v>2292</v>
      </c>
      <c r="B288" s="297" t="s">
        <v>1441</v>
      </c>
      <c r="C288" s="297" t="s">
        <v>1441</v>
      </c>
      <c r="D288" s="297" t="s">
        <v>4880</v>
      </c>
      <c r="E288" s="297" t="s">
        <v>1332</v>
      </c>
      <c r="F288" s="297" t="s">
        <v>3060</v>
      </c>
      <c r="G288" s="297"/>
      <c r="H288" s="297" t="s">
        <v>3324</v>
      </c>
      <c r="I288" s="297" t="s">
        <v>3325</v>
      </c>
      <c r="J288" s="45" t="str">
        <f t="shared" si="8"/>
        <v>TantalumQuantumClean</v>
      </c>
      <c r="K288" s="45" t="str">
        <f t="shared" si="9"/>
        <v>TantalumQuantumClean</v>
      </c>
      <c r="L288" s="243"/>
    </row>
    <row r="289" spans="1:12" ht="10.5" customHeight="1">
      <c r="A289" s="297" t="s">
        <v>2292</v>
      </c>
      <c r="B289" s="297" t="s">
        <v>4179</v>
      </c>
      <c r="C289" s="297" t="s">
        <v>4179</v>
      </c>
      <c r="D289" s="297" t="s">
        <v>2139</v>
      </c>
      <c r="E289" s="297" t="s">
        <v>3366</v>
      </c>
      <c r="F289" s="297" t="s">
        <v>3060</v>
      </c>
      <c r="G289" s="297"/>
      <c r="H289" s="297" t="s">
        <v>3312</v>
      </c>
      <c r="I289" s="297" t="s">
        <v>3367</v>
      </c>
      <c r="J289" s="45" t="str">
        <f t="shared" si="8"/>
        <v>TantalumResind Indústria e Comércio Ltda.</v>
      </c>
      <c r="K289" s="45" t="str">
        <f t="shared" si="9"/>
        <v>TantalumResind Indústria e Comércio Ltda.</v>
      </c>
      <c r="L289" s="243"/>
    </row>
    <row r="290" spans="1:12" ht="10.5" customHeight="1">
      <c r="A290" s="297" t="s">
        <v>2292</v>
      </c>
      <c r="B290" s="297" t="s">
        <v>2278</v>
      </c>
      <c r="C290" s="297" t="s">
        <v>4059</v>
      </c>
      <c r="D290" s="297" t="s">
        <v>2150</v>
      </c>
      <c r="E290" s="297" t="s">
        <v>1333</v>
      </c>
      <c r="F290" s="297" t="s">
        <v>3060</v>
      </c>
      <c r="G290" s="297"/>
      <c r="H290" s="297" t="s">
        <v>3326</v>
      </c>
      <c r="I290" s="297" t="s">
        <v>3121</v>
      </c>
      <c r="J290" s="45" t="str">
        <f t="shared" si="8"/>
        <v>TantalumRFH</v>
      </c>
      <c r="K290" s="45" t="str">
        <f t="shared" si="9"/>
        <v>TantalumRFH</v>
      </c>
      <c r="L290" s="243"/>
    </row>
    <row r="291" spans="1:12" ht="10.5" customHeight="1">
      <c r="A291" s="297" t="s">
        <v>2292</v>
      </c>
      <c r="B291" s="297" t="s">
        <v>52</v>
      </c>
      <c r="C291" s="297" t="s">
        <v>4059</v>
      </c>
      <c r="D291" s="297" t="s">
        <v>2150</v>
      </c>
      <c r="E291" s="297" t="s">
        <v>1333</v>
      </c>
      <c r="F291" s="297" t="s">
        <v>3060</v>
      </c>
      <c r="G291" s="297"/>
      <c r="H291" s="297" t="s">
        <v>3326</v>
      </c>
      <c r="I291" s="297" t="s">
        <v>3121</v>
      </c>
      <c r="J291" s="45" t="str">
        <f t="shared" si="8"/>
        <v>TantalumRFH (Yanling Jincheng Tantalum &amp; Niobium Co., Ltd)</v>
      </c>
      <c r="K291" s="45" t="str">
        <f t="shared" si="9"/>
        <v>TantalumRFH (Yanling Jincheng Tantalum &amp; Niobium Co., Ltd)</v>
      </c>
      <c r="L291" s="243"/>
    </row>
    <row r="292" spans="1:12" ht="10.5" customHeight="1">
      <c r="A292" s="297" t="s">
        <v>2292</v>
      </c>
      <c r="B292" s="297" t="s">
        <v>4059</v>
      </c>
      <c r="C292" s="297" t="s">
        <v>4059</v>
      </c>
      <c r="D292" s="297" t="s">
        <v>2150</v>
      </c>
      <c r="E292" s="297" t="s">
        <v>1333</v>
      </c>
      <c r="F292" s="297" t="s">
        <v>3060</v>
      </c>
      <c r="G292" s="297"/>
      <c r="H292" s="297" t="s">
        <v>3326</v>
      </c>
      <c r="I292" s="297" t="s">
        <v>3121</v>
      </c>
      <c r="J292" s="45" t="str">
        <f t="shared" si="8"/>
        <v>TantalumRFH Tantalum Smeltry Co., Ltd.</v>
      </c>
      <c r="K292" s="45" t="str">
        <f t="shared" si="9"/>
        <v>TantalumRFH Tantalum Smeltry Co., Ltd.</v>
      </c>
      <c r="L292" s="243"/>
    </row>
    <row r="293" spans="1:12" ht="10.5" customHeight="1">
      <c r="A293" s="297" t="s">
        <v>2292</v>
      </c>
      <c r="B293" s="297" t="s">
        <v>3327</v>
      </c>
      <c r="C293" s="297" t="s">
        <v>2622</v>
      </c>
      <c r="D293" s="297" t="s">
        <v>1690</v>
      </c>
      <c r="E293" s="297" t="s">
        <v>1334</v>
      </c>
      <c r="F293" s="297" t="s">
        <v>3060</v>
      </c>
      <c r="G293" s="297"/>
      <c r="H293" s="297" t="s">
        <v>3327</v>
      </c>
      <c r="I293" s="297" t="s">
        <v>3328</v>
      </c>
      <c r="J293" s="45" t="str">
        <f t="shared" si="8"/>
        <v>TantalumSolikamsk</v>
      </c>
      <c r="K293" s="45" t="str">
        <f t="shared" si="9"/>
        <v>TantalumSolikamsk</v>
      </c>
      <c r="L293" s="243"/>
    </row>
    <row r="294" spans="1:12" ht="10.5" customHeight="1">
      <c r="A294" s="297" t="s">
        <v>2292</v>
      </c>
      <c r="B294" s="297" t="s">
        <v>2622</v>
      </c>
      <c r="C294" s="297" t="s">
        <v>2622</v>
      </c>
      <c r="D294" s="297" t="s">
        <v>1690</v>
      </c>
      <c r="E294" s="297" t="s">
        <v>1334</v>
      </c>
      <c r="F294" s="297" t="s">
        <v>3060</v>
      </c>
      <c r="G294" s="297"/>
      <c r="H294" s="297" t="s">
        <v>3327</v>
      </c>
      <c r="I294" s="297" t="s">
        <v>3328</v>
      </c>
      <c r="J294" s="45" t="str">
        <f t="shared" si="8"/>
        <v>TantalumSolikamsk Magnesium Works OAO</v>
      </c>
      <c r="K294" s="45" t="str">
        <f t="shared" si="9"/>
        <v>TantalumSolikamsk Magnesium Works OAO</v>
      </c>
      <c r="L294" s="243"/>
    </row>
    <row r="295" spans="1:12" ht="10.5" customHeight="1">
      <c r="A295" s="297" t="s">
        <v>2292</v>
      </c>
      <c r="B295" s="297" t="s">
        <v>2276</v>
      </c>
      <c r="C295" s="297" t="s">
        <v>2622</v>
      </c>
      <c r="D295" s="297" t="s">
        <v>1690</v>
      </c>
      <c r="E295" s="297" t="s">
        <v>1334</v>
      </c>
      <c r="F295" s="297" t="s">
        <v>3060</v>
      </c>
      <c r="G295" s="297"/>
      <c r="H295" s="297" t="s">
        <v>3327</v>
      </c>
      <c r="I295" s="297" t="s">
        <v>3328</v>
      </c>
      <c r="J295" s="45" t="str">
        <f t="shared" si="8"/>
        <v>TantalumSolikamsk Metal Works</v>
      </c>
      <c r="K295" s="45" t="str">
        <f t="shared" si="9"/>
        <v>TantalumSolikamsk Metal Works</v>
      </c>
      <c r="L295" s="243"/>
    </row>
    <row r="296" spans="1:12" ht="10.5" customHeight="1">
      <c r="A296" s="297" t="s">
        <v>2292</v>
      </c>
      <c r="B296" s="297" t="s">
        <v>4907</v>
      </c>
      <c r="C296" s="297" t="s">
        <v>4907</v>
      </c>
      <c r="D296" s="297" t="s">
        <v>2217</v>
      </c>
      <c r="E296" s="297" t="s">
        <v>1335</v>
      </c>
      <c r="F296" s="297" t="s">
        <v>3060</v>
      </c>
      <c r="G296" s="297"/>
      <c r="H296" s="297" t="s">
        <v>3329</v>
      </c>
      <c r="I296" s="297" t="s">
        <v>3075</v>
      </c>
      <c r="J296" s="45" t="str">
        <f t="shared" si="8"/>
        <v>TantalumTaki Chemical Co., Ltd.</v>
      </c>
      <c r="K296" s="45" t="str">
        <f t="shared" si="9"/>
        <v>TantalumTaki Chemical Co., Ltd.</v>
      </c>
      <c r="L296" s="243"/>
    </row>
    <row r="297" spans="1:12" ht="10.5" customHeight="1">
      <c r="A297" s="297" t="s">
        <v>2292</v>
      </c>
      <c r="B297" s="297" t="s">
        <v>1442</v>
      </c>
      <c r="C297" s="297" t="s">
        <v>4907</v>
      </c>
      <c r="D297" s="297" t="s">
        <v>2217</v>
      </c>
      <c r="E297" s="297" t="s">
        <v>1335</v>
      </c>
      <c r="F297" s="297" t="s">
        <v>3060</v>
      </c>
      <c r="G297" s="297"/>
      <c r="H297" s="297" t="s">
        <v>3329</v>
      </c>
      <c r="I297" s="297" t="s">
        <v>3075</v>
      </c>
      <c r="J297" s="45" t="str">
        <f t="shared" si="8"/>
        <v>TantalumTaki Chemicals</v>
      </c>
      <c r="K297" s="45" t="str">
        <f t="shared" si="9"/>
        <v>TantalumTaki Chemicals</v>
      </c>
      <c r="L297" s="243"/>
    </row>
    <row r="298" spans="1:12" ht="10.5" customHeight="1">
      <c r="A298" s="297" t="s">
        <v>2292</v>
      </c>
      <c r="B298" s="297" t="s">
        <v>3330</v>
      </c>
      <c r="C298" s="297" t="s">
        <v>3330</v>
      </c>
      <c r="D298" s="297" t="s">
        <v>4880</v>
      </c>
      <c r="E298" s="297" t="s">
        <v>1336</v>
      </c>
      <c r="F298" s="297" t="s">
        <v>3060</v>
      </c>
      <c r="G298" s="297"/>
      <c r="H298" s="297" t="s">
        <v>3331</v>
      </c>
      <c r="I298" s="297" t="s">
        <v>3332</v>
      </c>
      <c r="J298" s="45" t="str">
        <f t="shared" si="8"/>
        <v>TantalumTelex Metals</v>
      </c>
      <c r="K298" s="45" t="str">
        <f t="shared" si="9"/>
        <v>TantalumTelex Metals</v>
      </c>
      <c r="L298" s="243"/>
    </row>
    <row r="299" spans="1:12" ht="10.5" customHeight="1">
      <c r="A299" s="297" t="s">
        <v>2292</v>
      </c>
      <c r="B299" s="297" t="s">
        <v>3363</v>
      </c>
      <c r="C299" s="297" t="s">
        <v>3363</v>
      </c>
      <c r="D299" s="297" t="s">
        <v>4880</v>
      </c>
      <c r="E299" s="297" t="s">
        <v>3364</v>
      </c>
      <c r="F299" s="297" t="s">
        <v>3060</v>
      </c>
      <c r="G299" s="297"/>
      <c r="H299" s="297" t="s">
        <v>3365</v>
      </c>
      <c r="I299" s="297" t="s">
        <v>3332</v>
      </c>
      <c r="J299" s="45" t="str">
        <f t="shared" si="8"/>
        <v>TantalumTranzact, Inc.</v>
      </c>
      <c r="K299" s="45" t="str">
        <f t="shared" si="9"/>
        <v>TantalumTranzact, Inc.</v>
      </c>
      <c r="L299" s="243"/>
    </row>
    <row r="300" spans="1:12" ht="10.5" customHeight="1">
      <c r="A300" s="297" t="s">
        <v>2292</v>
      </c>
      <c r="B300" s="297" t="s">
        <v>4238</v>
      </c>
      <c r="C300" s="297" t="s">
        <v>3333</v>
      </c>
      <c r="D300" s="297" t="s">
        <v>2218</v>
      </c>
      <c r="E300" s="297" t="s">
        <v>1337</v>
      </c>
      <c r="F300" s="297" t="s">
        <v>3060</v>
      </c>
      <c r="G300" s="297"/>
      <c r="H300" s="297" t="s">
        <v>3149</v>
      </c>
      <c r="I300" s="297" t="s">
        <v>3334</v>
      </c>
      <c r="J300" s="45" t="str">
        <f t="shared" si="8"/>
        <v>TantalumULBA</v>
      </c>
      <c r="K300" s="45" t="str">
        <f t="shared" si="9"/>
        <v>TantalumULBA</v>
      </c>
      <c r="L300" s="243"/>
    </row>
    <row r="301" spans="1:12" ht="10.5" customHeight="1">
      <c r="A301" s="297" t="s">
        <v>2292</v>
      </c>
      <c r="B301" s="297" t="s">
        <v>3333</v>
      </c>
      <c r="C301" s="297" t="s">
        <v>3333</v>
      </c>
      <c r="D301" s="297" t="s">
        <v>2218</v>
      </c>
      <c r="E301" s="297" t="s">
        <v>1337</v>
      </c>
      <c r="F301" s="297" t="s">
        <v>3060</v>
      </c>
      <c r="G301" s="297"/>
      <c r="H301" s="297" t="s">
        <v>3149</v>
      </c>
      <c r="I301" s="297" t="s">
        <v>3334</v>
      </c>
      <c r="J301" s="45" t="str">
        <f t="shared" si="8"/>
        <v>TantalumUlba Metallurgical Plant JSC</v>
      </c>
      <c r="K301" s="45" t="str">
        <f t="shared" si="9"/>
        <v>TantalumUlba Metallurgical Plant JSC</v>
      </c>
      <c r="L301" s="243"/>
    </row>
    <row r="302" spans="1:12" ht="10.5" customHeight="1">
      <c r="A302" s="297" t="s">
        <v>2292</v>
      </c>
      <c r="B302" s="297" t="s">
        <v>4075</v>
      </c>
      <c r="C302" s="297" t="s">
        <v>4075</v>
      </c>
      <c r="D302" s="297" t="s">
        <v>2150</v>
      </c>
      <c r="E302" s="297" t="s">
        <v>2655</v>
      </c>
      <c r="F302" s="297" t="s">
        <v>3060</v>
      </c>
      <c r="G302" s="297"/>
      <c r="H302" s="297" t="s">
        <v>3341</v>
      </c>
      <c r="I302" s="297" t="s">
        <v>3270</v>
      </c>
      <c r="J302" s="45" t="str">
        <f t="shared" si="8"/>
        <v>TantalumXinXing HaoRong Electronic Material Co., Ltd.</v>
      </c>
      <c r="K302" s="45" t="str">
        <f t="shared" si="9"/>
        <v>TantalumXinXing HaoRong Electronic Material Co., Ltd.</v>
      </c>
      <c r="L302" s="243"/>
    </row>
    <row r="303" spans="1:12" ht="10.5" customHeight="1">
      <c r="A303" s="297" t="s">
        <v>2292</v>
      </c>
      <c r="B303" s="297" t="s">
        <v>4070</v>
      </c>
      <c r="C303" s="297" t="s">
        <v>4070</v>
      </c>
      <c r="D303" s="297" t="s">
        <v>2150</v>
      </c>
      <c r="E303" s="297" t="s">
        <v>77</v>
      </c>
      <c r="F303" s="297" t="s">
        <v>3060</v>
      </c>
      <c r="G303" s="297"/>
      <c r="H303" s="297" t="s">
        <v>3311</v>
      </c>
      <c r="I303" s="297" t="s">
        <v>3139</v>
      </c>
      <c r="J303" s="45" t="str">
        <f t="shared" si="8"/>
        <v>TantalumYichun Jin Yang Rare Metal Co., Ltd.</v>
      </c>
      <c r="K303" s="45" t="str">
        <f t="shared" si="9"/>
        <v>TantalumYichun Jin Yang Rare Metal Co., Ltd.</v>
      </c>
      <c r="L303" s="243"/>
    </row>
    <row r="304" spans="1:12" ht="10.5" customHeight="1">
      <c r="A304" s="297" t="s">
        <v>2292</v>
      </c>
      <c r="B304" s="297" t="s">
        <v>4187</v>
      </c>
      <c r="C304" s="297" t="s">
        <v>2337</v>
      </c>
      <c r="D304" s="297" t="s">
        <v>2150</v>
      </c>
      <c r="E304" s="297" t="s">
        <v>1317</v>
      </c>
      <c r="F304" s="297" t="s">
        <v>3060</v>
      </c>
      <c r="G304" s="297"/>
      <c r="H304" s="297" t="s">
        <v>3303</v>
      </c>
      <c r="I304" s="297" t="s">
        <v>3270</v>
      </c>
      <c r="J304" s="45" t="str">
        <f t="shared" si="8"/>
        <v>TantalumZhaoqing Duoluoshan Non-ferrous Metals Co.,Ltd</v>
      </c>
      <c r="K304" s="45" t="str">
        <f t="shared" si="9"/>
        <v>TantalumZhaoqing Duoluoshan Non-ferrous Metals Co.,Ltd</v>
      </c>
      <c r="L304" s="243"/>
    </row>
    <row r="305" spans="1:12" ht="10.5" customHeight="1">
      <c r="A305" s="297" t="s">
        <v>2292</v>
      </c>
      <c r="B305" s="297" t="s">
        <v>3335</v>
      </c>
      <c r="C305" s="297" t="s">
        <v>4908</v>
      </c>
      <c r="D305" s="297" t="s">
        <v>2150</v>
      </c>
      <c r="E305" s="297" t="s">
        <v>1338</v>
      </c>
      <c r="F305" s="297" t="s">
        <v>3060</v>
      </c>
      <c r="G305" s="297"/>
      <c r="H305" s="297" t="s">
        <v>3326</v>
      </c>
      <c r="I305" s="297" t="s">
        <v>3121</v>
      </c>
      <c r="J305" s="45" t="str">
        <f t="shared" si="8"/>
        <v>TantalumZhuzhou Cemented Carbide Group</v>
      </c>
      <c r="K305" s="45" t="str">
        <f t="shared" si="9"/>
        <v>TantalumZhuzhou Cemented Carbide Group</v>
      </c>
      <c r="L305" s="243"/>
    </row>
    <row r="306" spans="1:12" ht="10.5" customHeight="1">
      <c r="A306" s="297" t="s">
        <v>2292</v>
      </c>
      <c r="B306" s="297" t="s">
        <v>4908</v>
      </c>
      <c r="C306" s="297" t="s">
        <v>4908</v>
      </c>
      <c r="D306" s="297" t="s">
        <v>2150</v>
      </c>
      <c r="E306" s="297" t="s">
        <v>1338</v>
      </c>
      <c r="F306" s="297" t="s">
        <v>3060</v>
      </c>
      <c r="G306" s="297"/>
      <c r="H306" s="297" t="s">
        <v>3326</v>
      </c>
      <c r="I306" s="297" t="s">
        <v>3121</v>
      </c>
      <c r="J306" s="45" t="str">
        <f t="shared" si="8"/>
        <v>TantalumZhuzhou Cemented Carbide Group Co., Ltd.</v>
      </c>
      <c r="K306" s="45" t="str">
        <f t="shared" si="9"/>
        <v>TantalumZhuzhou Cemented Carbide Group Co., Ltd.</v>
      </c>
      <c r="L306" s="243"/>
    </row>
    <row r="307" spans="1:12" ht="10.5" customHeight="1">
      <c r="A307" s="297" t="s">
        <v>2292</v>
      </c>
      <c r="B307" s="297" t="s">
        <v>3336</v>
      </c>
      <c r="C307" s="297" t="s">
        <v>4908</v>
      </c>
      <c r="D307" s="297" t="s">
        <v>2150</v>
      </c>
      <c r="E307" s="297" t="s">
        <v>1338</v>
      </c>
      <c r="F307" s="297" t="s">
        <v>3060</v>
      </c>
      <c r="G307" s="297"/>
      <c r="H307" s="297" t="s">
        <v>3326</v>
      </c>
      <c r="I307" s="297" t="s">
        <v>3121</v>
      </c>
      <c r="J307" s="45" t="str">
        <f t="shared" si="8"/>
        <v>TantalumZhuzhou Cemented Carbide Works Imp. &amp; Exp. Co.</v>
      </c>
      <c r="K307" s="45" t="str">
        <f t="shared" si="9"/>
        <v>TantalumZhuzhou Cemented Carbide Works Imp. &amp; Exp. Co.</v>
      </c>
      <c r="L307" s="243"/>
    </row>
    <row r="308" spans="1:12" ht="10.5" customHeight="1">
      <c r="A308" s="243" t="s">
        <v>2292</v>
      </c>
      <c r="B308" s="243" t="s">
        <v>3517</v>
      </c>
      <c r="C308" s="243"/>
      <c r="D308" s="243"/>
      <c r="E308" s="243"/>
      <c r="F308" s="243"/>
      <c r="G308" s="243"/>
      <c r="H308" s="243"/>
      <c r="I308" s="243"/>
      <c r="J308" s="45" t="str">
        <f t="shared" si="8"/>
        <v>TantalumSmelter not listed</v>
      </c>
      <c r="K308" s="45" t="str">
        <f t="shared" si="9"/>
        <v>TantalumSmelter not listed</v>
      </c>
    </row>
    <row r="309" spans="1:12" ht="10.5" customHeight="1">
      <c r="A309" s="243" t="s">
        <v>2292</v>
      </c>
      <c r="B309" s="243" t="s">
        <v>2538</v>
      </c>
      <c r="C309" s="243" t="s">
        <v>906</v>
      </c>
      <c r="D309" s="243" t="s">
        <v>906</v>
      </c>
      <c r="E309" s="243"/>
      <c r="F309" s="243"/>
      <c r="G309" s="243"/>
      <c r="H309" s="243"/>
      <c r="I309" s="243"/>
      <c r="J309" s="45" t="str">
        <f t="shared" si="8"/>
        <v>TantalumSmelter not yet identified</v>
      </c>
      <c r="K309" s="45" t="str">
        <f t="shared" si="9"/>
        <v>TantalumSmelter not yet identified</v>
      </c>
    </row>
    <row r="310" spans="1:12" ht="10.5" customHeight="1">
      <c r="A310" s="297" t="s">
        <v>2291</v>
      </c>
      <c r="B310" s="297" t="s">
        <v>3376</v>
      </c>
      <c r="C310" s="297" t="s">
        <v>66</v>
      </c>
      <c r="D310" s="297" t="s">
        <v>4880</v>
      </c>
      <c r="E310" s="297" t="s">
        <v>1341</v>
      </c>
      <c r="F310" s="297" t="s">
        <v>3060</v>
      </c>
      <c r="G310" s="297"/>
      <c r="H310" s="297" t="s">
        <v>3375</v>
      </c>
      <c r="I310" s="297" t="s">
        <v>3332</v>
      </c>
      <c r="J310" s="45" t="str">
        <f t="shared" si="8"/>
        <v>TinAlent plc</v>
      </c>
      <c r="K310" s="45" t="str">
        <f t="shared" si="9"/>
        <v>TinAlent plc</v>
      </c>
      <c r="L310" s="243"/>
    </row>
    <row r="311" spans="1:12" ht="10.5" customHeight="1">
      <c r="A311" s="297" t="s">
        <v>2291</v>
      </c>
      <c r="B311" s="297" t="s">
        <v>66</v>
      </c>
      <c r="C311" s="297" t="s">
        <v>66</v>
      </c>
      <c r="D311" s="297" t="s">
        <v>4880</v>
      </c>
      <c r="E311" s="297" t="s">
        <v>1341</v>
      </c>
      <c r="F311" s="297" t="s">
        <v>3060</v>
      </c>
      <c r="G311" s="297"/>
      <c r="H311" s="297" t="s">
        <v>3375</v>
      </c>
      <c r="I311" s="297" t="s">
        <v>3332</v>
      </c>
      <c r="J311" s="45" t="str">
        <f t="shared" si="8"/>
        <v>TinAlpha</v>
      </c>
      <c r="K311" s="45" t="str">
        <f t="shared" si="9"/>
        <v>TinAlpha</v>
      </c>
      <c r="L311" s="243"/>
    </row>
    <row r="312" spans="1:12" ht="10.5" customHeight="1">
      <c r="A312" s="297" t="s">
        <v>2291</v>
      </c>
      <c r="B312" s="297" t="s">
        <v>3378</v>
      </c>
      <c r="C312" s="297" t="s">
        <v>66</v>
      </c>
      <c r="D312" s="297" t="s">
        <v>4880</v>
      </c>
      <c r="E312" s="297" t="s">
        <v>1341</v>
      </c>
      <c r="F312" s="297" t="s">
        <v>3060</v>
      </c>
      <c r="G312" s="297"/>
      <c r="H312" s="297" t="s">
        <v>3375</v>
      </c>
      <c r="I312" s="297" t="s">
        <v>3332</v>
      </c>
      <c r="J312" s="45" t="str">
        <f t="shared" si="8"/>
        <v>TinAlpha Metals</v>
      </c>
      <c r="K312" s="45" t="str">
        <f t="shared" si="9"/>
        <v>TinAlpha Metals</v>
      </c>
      <c r="L312" s="243"/>
    </row>
    <row r="313" spans="1:12" ht="10.5" customHeight="1">
      <c r="A313" s="297" t="s">
        <v>2291</v>
      </c>
      <c r="B313" s="297" t="s">
        <v>4188</v>
      </c>
      <c r="C313" s="297" t="s">
        <v>66</v>
      </c>
      <c r="D313" s="297" t="s">
        <v>4880</v>
      </c>
      <c r="E313" s="297" t="s">
        <v>1341</v>
      </c>
      <c r="F313" s="297" t="s">
        <v>3060</v>
      </c>
      <c r="G313" s="297"/>
      <c r="H313" s="297" t="s">
        <v>3375</v>
      </c>
      <c r="I313" s="297" t="s">
        <v>3332</v>
      </c>
      <c r="J313" s="45" t="str">
        <f t="shared" si="8"/>
        <v>TinAlpha Metals Korea Ltd.</v>
      </c>
      <c r="K313" s="45" t="str">
        <f t="shared" si="9"/>
        <v>TinAlpha Metals Korea Ltd.</v>
      </c>
      <c r="L313" s="243"/>
    </row>
    <row r="314" spans="1:12" ht="10.5" customHeight="1">
      <c r="A314" s="297" t="s">
        <v>2291</v>
      </c>
      <c r="B314" s="297" t="s">
        <v>3377</v>
      </c>
      <c r="C314" s="297" t="s">
        <v>66</v>
      </c>
      <c r="D314" s="297" t="s">
        <v>4880</v>
      </c>
      <c r="E314" s="297" t="s">
        <v>1341</v>
      </c>
      <c r="F314" s="297" t="s">
        <v>3060</v>
      </c>
      <c r="G314" s="297"/>
      <c r="H314" s="297" t="s">
        <v>3375</v>
      </c>
      <c r="I314" s="297" t="s">
        <v>3332</v>
      </c>
      <c r="J314" s="45" t="str">
        <f t="shared" si="8"/>
        <v>TinAlpha Metals Taiwan</v>
      </c>
      <c r="K314" s="45" t="str">
        <f t="shared" si="9"/>
        <v>TinAlpha Metals Taiwan</v>
      </c>
      <c r="L314" s="243"/>
    </row>
    <row r="315" spans="1:12" ht="10.5" customHeight="1">
      <c r="A315" s="297" t="s">
        <v>2291</v>
      </c>
      <c r="B315" s="297" t="s">
        <v>4604</v>
      </c>
      <c r="C315" s="297" t="s">
        <v>4604</v>
      </c>
      <c r="D315" s="297" t="s">
        <v>1737</v>
      </c>
      <c r="E315" s="297" t="s">
        <v>4206</v>
      </c>
      <c r="F315" s="297" t="s">
        <v>3060</v>
      </c>
      <c r="G315" s="297"/>
      <c r="H315" s="297" t="s">
        <v>3459</v>
      </c>
      <c r="I315" s="297" t="s">
        <v>3460</v>
      </c>
      <c r="J315" s="45" t="str">
        <f t="shared" si="8"/>
        <v>TinAn Thai Minerals Co., Ltd.</v>
      </c>
      <c r="K315" s="45" t="str">
        <f t="shared" si="9"/>
        <v>TinAn Thai Minerals Co., Ltd.</v>
      </c>
      <c r="L315" s="243"/>
    </row>
    <row r="316" spans="1:12" ht="10.5" customHeight="1">
      <c r="A316" s="297" t="s">
        <v>2291</v>
      </c>
      <c r="B316" s="297" t="s">
        <v>4030</v>
      </c>
      <c r="C316" s="297" t="s">
        <v>4030</v>
      </c>
      <c r="D316" s="297" t="s">
        <v>1737</v>
      </c>
      <c r="E316" s="297" t="s">
        <v>4031</v>
      </c>
      <c r="F316" s="297" t="s">
        <v>3060</v>
      </c>
      <c r="G316" s="297"/>
      <c r="H316" s="297" t="s">
        <v>3459</v>
      </c>
      <c r="I316" s="297" t="s">
        <v>3460</v>
      </c>
      <c r="J316" s="45" t="str">
        <f t="shared" si="8"/>
        <v>TinAn Vinh Joint Stock Mineral Processing Company</v>
      </c>
      <c r="K316" s="45" t="str">
        <f t="shared" si="9"/>
        <v>TinAn Vinh Joint Stock Mineral Processing Company</v>
      </c>
      <c r="L316" s="243"/>
    </row>
    <row r="317" spans="1:12" ht="10.5" customHeight="1">
      <c r="A317" s="297" t="s">
        <v>2291</v>
      </c>
      <c r="B317" s="297" t="s">
        <v>53</v>
      </c>
      <c r="C317" s="297" t="s">
        <v>1172</v>
      </c>
      <c r="D317" s="297" t="s">
        <v>2206</v>
      </c>
      <c r="E317" s="297" t="s">
        <v>1365</v>
      </c>
      <c r="F317" s="297" t="s">
        <v>3060</v>
      </c>
      <c r="G317" s="297"/>
      <c r="H317" s="297" t="s">
        <v>3388</v>
      </c>
      <c r="I317" s="297" t="s">
        <v>3385</v>
      </c>
      <c r="J317" s="45" t="str">
        <f t="shared" si="8"/>
        <v>TinBrand IMLI</v>
      </c>
      <c r="K317" s="45" t="str">
        <f t="shared" si="9"/>
        <v>TinBrand IMLI</v>
      </c>
      <c r="L317" s="243"/>
    </row>
    <row r="318" spans="1:12" ht="10.5" customHeight="1">
      <c r="A318" s="297" t="s">
        <v>2291</v>
      </c>
      <c r="B318" s="297" t="s">
        <v>3423</v>
      </c>
      <c r="C318" s="297" t="s">
        <v>4057</v>
      </c>
      <c r="D318" s="297" t="s">
        <v>2206</v>
      </c>
      <c r="E318" s="297" t="s">
        <v>1372</v>
      </c>
      <c r="F318" s="297" t="s">
        <v>3060</v>
      </c>
      <c r="G318" s="297"/>
      <c r="H318" s="297" t="s">
        <v>3384</v>
      </c>
      <c r="I318" s="297" t="s">
        <v>3385</v>
      </c>
      <c r="J318" s="45" t="str">
        <f t="shared" si="8"/>
        <v>TinBrand RBT</v>
      </c>
      <c r="K318" s="45" t="str">
        <f t="shared" si="9"/>
        <v>TinBrand RBT</v>
      </c>
      <c r="L318" s="243"/>
    </row>
    <row r="319" spans="1:12" ht="10.5" customHeight="1">
      <c r="A319" s="297" t="s">
        <v>2291</v>
      </c>
      <c r="B319" s="297" t="s">
        <v>4189</v>
      </c>
      <c r="C319" s="297" t="s">
        <v>4069</v>
      </c>
      <c r="D319" s="297" t="s">
        <v>2150</v>
      </c>
      <c r="E319" s="297" t="s">
        <v>1382</v>
      </c>
      <c r="F319" s="297" t="s">
        <v>3060</v>
      </c>
      <c r="G319" s="297"/>
      <c r="H319" s="297" t="s">
        <v>4910</v>
      </c>
      <c r="I319" s="297" t="s">
        <v>3096</v>
      </c>
      <c r="J319" s="45" t="str">
        <f t="shared" si="8"/>
        <v>TinChengfeng Metals Co Pte Ltd</v>
      </c>
      <c r="K319" s="45" t="str">
        <f t="shared" si="9"/>
        <v>TinChengfeng Metals Co Pte Ltd</v>
      </c>
      <c r="L319" s="243"/>
    </row>
    <row r="320" spans="1:12" ht="10.5" customHeight="1">
      <c r="A320" s="297" t="s">
        <v>2291</v>
      </c>
      <c r="B320" s="297" t="s">
        <v>4239</v>
      </c>
      <c r="C320" s="297" t="s">
        <v>4605</v>
      </c>
      <c r="D320" s="297" t="s">
        <v>2150</v>
      </c>
      <c r="E320" s="297" t="s">
        <v>4275</v>
      </c>
      <c r="F320" s="297" t="s">
        <v>3060</v>
      </c>
      <c r="G320" s="297"/>
      <c r="H320" s="297" t="s">
        <v>4987</v>
      </c>
      <c r="I320" s="297" t="s">
        <v>3121</v>
      </c>
      <c r="J320" s="45" t="str">
        <f t="shared" si="8"/>
        <v>TinChenzhou Yun Xiang mining limited liability company</v>
      </c>
      <c r="K320" s="45" t="str">
        <f t="shared" si="9"/>
        <v>TinChenzhou Yun Xiang mining limited liability company</v>
      </c>
      <c r="L320" s="243"/>
    </row>
    <row r="321" spans="1:12" ht="10.5" customHeight="1">
      <c r="A321" s="297" t="s">
        <v>2291</v>
      </c>
      <c r="B321" s="297" t="s">
        <v>4605</v>
      </c>
      <c r="C321" s="297" t="s">
        <v>4605</v>
      </c>
      <c r="D321" s="297" t="s">
        <v>2150</v>
      </c>
      <c r="E321" s="297" t="s">
        <v>4275</v>
      </c>
      <c r="F321" s="297" t="s">
        <v>3060</v>
      </c>
      <c r="G321" s="297"/>
      <c r="H321" s="297" t="s">
        <v>4987</v>
      </c>
      <c r="I321" s="297" t="s">
        <v>3121</v>
      </c>
      <c r="J321" s="45" t="str">
        <f t="shared" si="8"/>
        <v>TinChenzhou Yunxiang Mining and Metallurgy Co., Ltd.</v>
      </c>
      <c r="K321" s="45" t="str">
        <f t="shared" si="9"/>
        <v>TinChenzhou Yunxiang Mining and Metallurgy Co., Ltd.</v>
      </c>
      <c r="L321" s="243"/>
    </row>
    <row r="322" spans="1:12" ht="10.5" customHeight="1">
      <c r="A322" s="297" t="s">
        <v>2291</v>
      </c>
      <c r="B322" s="297" t="s">
        <v>4190</v>
      </c>
      <c r="C322" s="297" t="s">
        <v>3371</v>
      </c>
      <c r="D322" s="297" t="s">
        <v>2150</v>
      </c>
      <c r="E322" s="297" t="s">
        <v>1339</v>
      </c>
      <c r="F322" s="297" t="s">
        <v>3060</v>
      </c>
      <c r="G322" s="297"/>
      <c r="H322" s="297" t="s">
        <v>3337</v>
      </c>
      <c r="I322" s="297" t="s">
        <v>3139</v>
      </c>
      <c r="J322" s="45" t="str">
        <f t="shared" si="8"/>
        <v>TinChina Rare Metal Material Co., Ltd.</v>
      </c>
      <c r="K322" s="45" t="str">
        <f t="shared" si="9"/>
        <v>TinChina Rare Metal Material Co., Ltd.</v>
      </c>
      <c r="L322" s="243"/>
    </row>
    <row r="323" spans="1:12" ht="10.5" customHeight="1">
      <c r="A323" s="297" t="s">
        <v>2291</v>
      </c>
      <c r="B323" s="297" t="s">
        <v>4191</v>
      </c>
      <c r="C323" s="297" t="s">
        <v>2543</v>
      </c>
      <c r="D323" s="297" t="s">
        <v>2150</v>
      </c>
      <c r="E323" s="297" t="s">
        <v>1353</v>
      </c>
      <c r="F323" s="297" t="s">
        <v>3060</v>
      </c>
      <c r="G323" s="297"/>
      <c r="H323" s="297" t="s">
        <v>3400</v>
      </c>
      <c r="I323" s="297" t="s">
        <v>3373</v>
      </c>
      <c r="J323" s="45" t="str">
        <f t="shared" si="8"/>
        <v>TinChina Tin (Hechi)</v>
      </c>
      <c r="K323" s="45" t="str">
        <f t="shared" si="9"/>
        <v>TinChina Tin (Hechi)</v>
      </c>
      <c r="L323" s="243"/>
    </row>
    <row r="324" spans="1:12" ht="10.5" customHeight="1">
      <c r="A324" s="297" t="s">
        <v>2291</v>
      </c>
      <c r="B324" s="297" t="s">
        <v>2543</v>
      </c>
      <c r="C324" s="297" t="s">
        <v>2543</v>
      </c>
      <c r="D324" s="297" t="s">
        <v>2150</v>
      </c>
      <c r="E324" s="297" t="s">
        <v>1353</v>
      </c>
      <c r="F324" s="297" t="s">
        <v>3060</v>
      </c>
      <c r="G324" s="297"/>
      <c r="H324" s="297" t="s">
        <v>3400</v>
      </c>
      <c r="I324" s="297" t="s">
        <v>3373</v>
      </c>
      <c r="J324" s="45" t="str">
        <f t="shared" si="8"/>
        <v>TinChina Tin Group Co., Ltd.</v>
      </c>
      <c r="K324" s="45" t="str">
        <f t="shared" si="9"/>
        <v>TinChina Tin Group Co., Ltd.</v>
      </c>
      <c r="L324" s="243"/>
    </row>
    <row r="325" spans="1:12" ht="10.5" customHeight="1">
      <c r="A325" s="297" t="s">
        <v>2291</v>
      </c>
      <c r="B325" s="297" t="s">
        <v>4192</v>
      </c>
      <c r="C325" s="297" t="s">
        <v>2543</v>
      </c>
      <c r="D325" s="297" t="s">
        <v>2150</v>
      </c>
      <c r="E325" s="297" t="s">
        <v>1353</v>
      </c>
      <c r="F325" s="297" t="s">
        <v>3060</v>
      </c>
      <c r="G325" s="297"/>
      <c r="H325" s="297" t="s">
        <v>3400</v>
      </c>
      <c r="I325" s="297" t="s">
        <v>3373</v>
      </c>
      <c r="J325" s="45" t="str">
        <f t="shared" si="8"/>
        <v>TinChina Tin Lai Ben Smelter Co., Ltd.</v>
      </c>
      <c r="K325" s="45" t="str">
        <f t="shared" si="9"/>
        <v>TinChina Tin Lai Ben Smelter Co., Ltd.</v>
      </c>
      <c r="L325" s="243"/>
    </row>
    <row r="326" spans="1:12" ht="10.5" customHeight="1">
      <c r="A326" s="297" t="s">
        <v>2291</v>
      </c>
      <c r="B326" s="297" t="s">
        <v>54</v>
      </c>
      <c r="C326" s="297" t="s">
        <v>4621</v>
      </c>
      <c r="D326" s="297" t="s">
        <v>2150</v>
      </c>
      <c r="E326" s="297" t="s">
        <v>1383</v>
      </c>
      <c r="F326" s="297" t="s">
        <v>3060</v>
      </c>
      <c r="G326" s="297"/>
      <c r="H326" s="297" t="s">
        <v>4910</v>
      </c>
      <c r="I326" s="297" t="s">
        <v>3096</v>
      </c>
      <c r="J326" s="45" t="str">
        <f t="shared" si="8"/>
        <v>TinChina Yunnan Tin Co Ltd.</v>
      </c>
      <c r="K326" s="45" t="str">
        <f t="shared" si="9"/>
        <v>TinChina Yunnan Tin Co Ltd.</v>
      </c>
      <c r="L326" s="243"/>
    </row>
    <row r="327" spans="1:12" ht="10.5" customHeight="1">
      <c r="A327" s="297" t="s">
        <v>2291</v>
      </c>
      <c r="B327" s="297" t="s">
        <v>4039</v>
      </c>
      <c r="C327" s="297" t="s">
        <v>4039</v>
      </c>
      <c r="D327" s="297" t="s">
        <v>2150</v>
      </c>
      <c r="E327" s="297" t="s">
        <v>1340</v>
      </c>
      <c r="F327" s="297" t="s">
        <v>3060</v>
      </c>
      <c r="G327" s="297"/>
      <c r="H327" s="297" t="s">
        <v>3372</v>
      </c>
      <c r="I327" s="297" t="s">
        <v>3373</v>
      </c>
      <c r="J327" s="45" t="str">
        <f t="shared" si="8"/>
        <v>TinCNMC (Guangxi) PGMA Co., Ltd.</v>
      </c>
      <c r="K327" s="45" t="str">
        <f t="shared" si="9"/>
        <v>TinCNMC (Guangxi) PGMA Co., Ltd.</v>
      </c>
      <c r="L327" s="243"/>
    </row>
    <row r="328" spans="1:12" ht="10.5" customHeight="1">
      <c r="A328" s="297" t="s">
        <v>2291</v>
      </c>
      <c r="B328" s="297" t="s">
        <v>1477</v>
      </c>
      <c r="C328" s="297" t="s">
        <v>66</v>
      </c>
      <c r="D328" s="297" t="s">
        <v>4880</v>
      </c>
      <c r="E328" s="297" t="s">
        <v>1341</v>
      </c>
      <c r="F328" s="297" t="s">
        <v>3060</v>
      </c>
      <c r="G328" s="297"/>
      <c r="H328" s="297" t="s">
        <v>3375</v>
      </c>
      <c r="I328" s="297" t="s">
        <v>3332</v>
      </c>
      <c r="J328" s="45" t="str">
        <f t="shared" si="8"/>
        <v>TinCookson</v>
      </c>
      <c r="K328" s="45" t="str">
        <f t="shared" si="9"/>
        <v>TinCookson</v>
      </c>
      <c r="L328" s="243"/>
    </row>
    <row r="329" spans="1:12" ht="10.5" customHeight="1">
      <c r="A329" s="297" t="s">
        <v>2291</v>
      </c>
      <c r="B329" s="297" t="s">
        <v>3379</v>
      </c>
      <c r="C329" s="297" t="s">
        <v>66</v>
      </c>
      <c r="D329" s="297" t="s">
        <v>4880</v>
      </c>
      <c r="E329" s="297" t="s">
        <v>1341</v>
      </c>
      <c r="F329" s="297" t="s">
        <v>3060</v>
      </c>
      <c r="G329" s="297"/>
      <c r="H329" s="297" t="s">
        <v>3375</v>
      </c>
      <c r="I329" s="297" t="s">
        <v>3332</v>
      </c>
      <c r="J329" s="45" t="str">
        <f t="shared" si="8"/>
        <v>TinCookson (Alpha Metals Taiwan)</v>
      </c>
      <c r="K329" s="45" t="str">
        <f t="shared" si="9"/>
        <v>TinCookson (Alpha Metals Taiwan)</v>
      </c>
      <c r="L329" s="243"/>
    </row>
    <row r="330" spans="1:12" ht="10.5" customHeight="1">
      <c r="A330" s="297" t="s">
        <v>2291</v>
      </c>
      <c r="B330" s="297" t="s">
        <v>3380</v>
      </c>
      <c r="C330" s="297" t="s">
        <v>66</v>
      </c>
      <c r="D330" s="297" t="s">
        <v>4880</v>
      </c>
      <c r="E330" s="297" t="s">
        <v>1341</v>
      </c>
      <c r="F330" s="297" t="s">
        <v>3060</v>
      </c>
      <c r="G330" s="297"/>
      <c r="H330" s="297" t="s">
        <v>3375</v>
      </c>
      <c r="I330" s="297" t="s">
        <v>3332</v>
      </c>
      <c r="J330" s="45" t="str">
        <f t="shared" ref="J330:J393" si="10">A330&amp;B330</f>
        <v>TinCookson Alpha Metals (Shenzhen) Co., Ltd.</v>
      </c>
      <c r="K330" s="45" t="str">
        <f t="shared" ref="K330:K393" si="11">A330&amp;B330</f>
        <v>TinCookson Alpha Metals (Shenzhen) Co., Ltd.</v>
      </c>
      <c r="L330" s="243"/>
    </row>
    <row r="331" spans="1:12" ht="10.5" customHeight="1">
      <c r="A331" s="297" t="s">
        <v>2291</v>
      </c>
      <c r="B331" s="297" t="s">
        <v>4033</v>
      </c>
      <c r="C331" s="297" t="s">
        <v>3381</v>
      </c>
      <c r="D331" s="297" t="s">
        <v>2139</v>
      </c>
      <c r="E331" s="297" t="s">
        <v>1342</v>
      </c>
      <c r="F331" s="297" t="s">
        <v>3060</v>
      </c>
      <c r="G331" s="297"/>
      <c r="H331" s="297" t="s">
        <v>3382</v>
      </c>
      <c r="I331" s="297" t="s">
        <v>3383</v>
      </c>
      <c r="J331" s="45" t="str">
        <f t="shared" si="10"/>
        <v>TinCooper Santa</v>
      </c>
      <c r="K331" s="45" t="str">
        <f t="shared" si="11"/>
        <v>TinCooper Santa</v>
      </c>
      <c r="L331" s="243"/>
    </row>
    <row r="332" spans="1:12" ht="10.5" customHeight="1">
      <c r="A332" s="297" t="s">
        <v>2291</v>
      </c>
      <c r="B332" s="297" t="s">
        <v>3381</v>
      </c>
      <c r="C332" s="297" t="s">
        <v>3381</v>
      </c>
      <c r="D332" s="297" t="s">
        <v>2139</v>
      </c>
      <c r="E332" s="297" t="s">
        <v>1342</v>
      </c>
      <c r="F332" s="297" t="s">
        <v>3060</v>
      </c>
      <c r="G332" s="297"/>
      <c r="H332" s="297" t="s">
        <v>3382</v>
      </c>
      <c r="I332" s="297" t="s">
        <v>3383</v>
      </c>
      <c r="J332" s="45" t="str">
        <f t="shared" si="10"/>
        <v>TinCooperativa Metalurgica de Rondônia Ltda.</v>
      </c>
      <c r="K332" s="45" t="str">
        <f t="shared" si="11"/>
        <v>TinCooperativa Metalurgica de Rondônia Ltda.</v>
      </c>
      <c r="L332" s="243"/>
    </row>
    <row r="333" spans="1:12" ht="10.5" customHeight="1">
      <c r="A333" s="297" t="s">
        <v>2291</v>
      </c>
      <c r="B333" s="297" t="s">
        <v>4607</v>
      </c>
      <c r="C333" s="297" t="s">
        <v>3381</v>
      </c>
      <c r="D333" s="297" t="s">
        <v>2139</v>
      </c>
      <c r="E333" s="297" t="s">
        <v>1342</v>
      </c>
      <c r="F333" s="297" t="s">
        <v>3060</v>
      </c>
      <c r="G333" s="297"/>
      <c r="H333" s="297" t="s">
        <v>3382</v>
      </c>
      <c r="I333" s="297" t="s">
        <v>3383</v>
      </c>
      <c r="J333" s="45" t="str">
        <f t="shared" si="10"/>
        <v>TinCooperMetal</v>
      </c>
      <c r="K333" s="45" t="str">
        <f t="shared" si="11"/>
        <v>TinCooperMetal</v>
      </c>
      <c r="L333" s="243"/>
    </row>
    <row r="334" spans="1:12" ht="10.5" customHeight="1">
      <c r="A334" s="297" t="s">
        <v>2291</v>
      </c>
      <c r="B334" s="297" t="s">
        <v>3451</v>
      </c>
      <c r="C334" s="297" t="s">
        <v>3451</v>
      </c>
      <c r="D334" s="297" t="s">
        <v>2206</v>
      </c>
      <c r="E334" s="297" t="s">
        <v>3452</v>
      </c>
      <c r="F334" s="297" t="s">
        <v>3060</v>
      </c>
      <c r="G334" s="297"/>
      <c r="H334" s="297" t="s">
        <v>3384</v>
      </c>
      <c r="I334" s="297" t="s">
        <v>3385</v>
      </c>
      <c r="J334" s="45" t="str">
        <f t="shared" si="10"/>
        <v>TinCV Ayi Jaya</v>
      </c>
      <c r="K334" s="45" t="str">
        <f t="shared" si="11"/>
        <v>TinCV Ayi Jaya</v>
      </c>
      <c r="L334" s="243"/>
    </row>
    <row r="335" spans="1:12" ht="10.5" customHeight="1">
      <c r="A335" s="297" t="s">
        <v>2291</v>
      </c>
      <c r="B335" s="297" t="s">
        <v>4271</v>
      </c>
      <c r="C335" s="297" t="s">
        <v>4271</v>
      </c>
      <c r="D335" s="297" t="s">
        <v>2206</v>
      </c>
      <c r="E335" s="297" t="s">
        <v>4272</v>
      </c>
      <c r="F335" s="297" t="s">
        <v>3060</v>
      </c>
      <c r="G335" s="297"/>
      <c r="H335" s="297" t="s">
        <v>3388</v>
      </c>
      <c r="I335" s="297" t="s">
        <v>3385</v>
      </c>
      <c r="J335" s="45" t="str">
        <f t="shared" si="10"/>
        <v>TinCV Dua Sekawan</v>
      </c>
      <c r="K335" s="45" t="str">
        <f t="shared" si="11"/>
        <v>TinCV Dua Sekawan</v>
      </c>
      <c r="L335" s="243"/>
    </row>
    <row r="336" spans="1:12" ht="10.5" customHeight="1">
      <c r="A336" s="297" t="s">
        <v>2291</v>
      </c>
      <c r="B336" s="297" t="s">
        <v>2628</v>
      </c>
      <c r="C336" s="297" t="s">
        <v>2628</v>
      </c>
      <c r="D336" s="297" t="s">
        <v>2206</v>
      </c>
      <c r="E336" s="297" t="s">
        <v>2629</v>
      </c>
      <c r="F336" s="297" t="s">
        <v>3060</v>
      </c>
      <c r="G336" s="297"/>
      <c r="H336" s="297" t="s">
        <v>3384</v>
      </c>
      <c r="I336" s="297" t="s">
        <v>3385</v>
      </c>
      <c r="J336" s="45" t="str">
        <f t="shared" si="10"/>
        <v>TinCV Gita Pesona</v>
      </c>
      <c r="K336" s="45" t="str">
        <f t="shared" si="11"/>
        <v>TinCV Gita Pesona</v>
      </c>
      <c r="L336" s="243"/>
    </row>
    <row r="337" spans="1:20" ht="10.5" customHeight="1">
      <c r="A337" s="297" t="s">
        <v>2291</v>
      </c>
      <c r="B337" s="297" t="s">
        <v>4617</v>
      </c>
      <c r="C337" s="297" t="s">
        <v>4137</v>
      </c>
      <c r="D337" s="297" t="s">
        <v>2206</v>
      </c>
      <c r="E337" s="297" t="s">
        <v>2630</v>
      </c>
      <c r="F337" s="297" t="s">
        <v>3060</v>
      </c>
      <c r="G337" s="297"/>
      <c r="H337" s="297" t="s">
        <v>3386</v>
      </c>
      <c r="I337" s="297" t="s">
        <v>3385</v>
      </c>
      <c r="J337" s="45" t="str">
        <f t="shared" si="10"/>
        <v>TinCV JusTindo</v>
      </c>
      <c r="K337" s="45" t="str">
        <f t="shared" si="11"/>
        <v>TinCV JusTindo</v>
      </c>
      <c r="L337" s="243"/>
    </row>
    <row r="338" spans="1:20" ht="10.5" customHeight="1">
      <c r="A338" s="297" t="s">
        <v>2291</v>
      </c>
      <c r="B338" s="297" t="s">
        <v>4032</v>
      </c>
      <c r="C338" s="297" t="s">
        <v>4174</v>
      </c>
      <c r="D338" s="297" t="s">
        <v>2206</v>
      </c>
      <c r="E338" s="297" t="s">
        <v>2631</v>
      </c>
      <c r="F338" s="297" t="s">
        <v>3060</v>
      </c>
      <c r="G338" s="297"/>
      <c r="H338" s="297" t="s">
        <v>4909</v>
      </c>
      <c r="I338" s="297" t="s">
        <v>3385</v>
      </c>
      <c r="J338" s="45" t="str">
        <f t="shared" si="10"/>
        <v>TinCV Nurjanah</v>
      </c>
      <c r="K338" s="45" t="str">
        <f t="shared" si="11"/>
        <v>TinCV Nurjanah</v>
      </c>
      <c r="L338" s="243"/>
    </row>
    <row r="339" spans="1:20" ht="10.5" customHeight="1">
      <c r="A339" s="297" t="s">
        <v>2291</v>
      </c>
      <c r="B339" s="297" t="s">
        <v>1478</v>
      </c>
      <c r="C339" s="297" t="s">
        <v>1478</v>
      </c>
      <c r="D339" s="297" t="s">
        <v>2206</v>
      </c>
      <c r="E339" s="297" t="s">
        <v>1343</v>
      </c>
      <c r="F339" s="297" t="s">
        <v>3060</v>
      </c>
      <c r="G339" s="297"/>
      <c r="H339" s="297" t="s">
        <v>3387</v>
      </c>
      <c r="I339" s="297" t="s">
        <v>3385</v>
      </c>
      <c r="J339" s="45" t="str">
        <f t="shared" si="10"/>
        <v>TinCV Serumpun Sebalai</v>
      </c>
      <c r="K339" s="45" t="str">
        <f t="shared" si="11"/>
        <v>TinCV Serumpun Sebalai</v>
      </c>
      <c r="T339" s="243"/>
    </row>
    <row r="340" spans="1:20" ht="10.5" customHeight="1">
      <c r="A340" s="297" t="s">
        <v>2291</v>
      </c>
      <c r="B340" s="297" t="s">
        <v>4240</v>
      </c>
      <c r="C340" s="297" t="s">
        <v>4240</v>
      </c>
      <c r="D340" s="297" t="s">
        <v>2206</v>
      </c>
      <c r="E340" s="297" t="s">
        <v>4241</v>
      </c>
      <c r="F340" s="297" t="s">
        <v>3060</v>
      </c>
      <c r="G340" s="297"/>
      <c r="H340" s="297" t="s">
        <v>3388</v>
      </c>
      <c r="I340" s="297" t="s">
        <v>3385</v>
      </c>
      <c r="J340" s="45" t="str">
        <f t="shared" si="10"/>
        <v>TinCV Tiga Sekawan</v>
      </c>
      <c r="K340" s="45" t="str">
        <f t="shared" si="11"/>
        <v>TinCV Tiga Sekawan</v>
      </c>
      <c r="T340"/>
    </row>
    <row r="341" spans="1:20" ht="10.5" customHeight="1">
      <c r="A341" s="297" t="s">
        <v>2291</v>
      </c>
      <c r="B341" s="297" t="s">
        <v>1479</v>
      </c>
      <c r="C341" s="297" t="s">
        <v>1479</v>
      </c>
      <c r="D341" s="297" t="s">
        <v>2206</v>
      </c>
      <c r="E341" s="297" t="s">
        <v>1344</v>
      </c>
      <c r="F341" s="297" t="s">
        <v>3060</v>
      </c>
      <c r="G341" s="297"/>
      <c r="H341" s="297" t="s">
        <v>3388</v>
      </c>
      <c r="I341" s="297" t="s">
        <v>3385</v>
      </c>
      <c r="J341" s="45" t="str">
        <f t="shared" si="10"/>
        <v>TinCV United Smelting</v>
      </c>
      <c r="K341" s="45" t="str">
        <f t="shared" si="11"/>
        <v>TinCV United Smelting</v>
      </c>
      <c r="T341"/>
    </row>
    <row r="342" spans="1:20" ht="10.5" customHeight="1">
      <c r="A342" s="297" t="s">
        <v>2291</v>
      </c>
      <c r="B342" s="297" t="s">
        <v>2656</v>
      </c>
      <c r="C342" s="297" t="s">
        <v>2656</v>
      </c>
      <c r="D342" s="297" t="s">
        <v>2206</v>
      </c>
      <c r="E342" s="297" t="s">
        <v>2657</v>
      </c>
      <c r="F342" s="297" t="s">
        <v>3060</v>
      </c>
      <c r="G342" s="297"/>
      <c r="H342" s="297" t="s">
        <v>3388</v>
      </c>
      <c r="I342" s="297" t="s">
        <v>3385</v>
      </c>
      <c r="J342" s="45" t="str">
        <f t="shared" si="10"/>
        <v>TinCV Venus Inti Perkasa</v>
      </c>
      <c r="K342" s="45" t="str">
        <f t="shared" si="11"/>
        <v>TinCV Venus Inti Perkasa</v>
      </c>
      <c r="T342"/>
    </row>
    <row r="343" spans="1:20" ht="10.5" customHeight="1">
      <c r="A343" s="297" t="s">
        <v>2291</v>
      </c>
      <c r="B343" s="297" t="s">
        <v>1759</v>
      </c>
      <c r="C343" s="297" t="s">
        <v>1759</v>
      </c>
      <c r="D343" s="297" t="s">
        <v>2217</v>
      </c>
      <c r="E343" s="297" t="s">
        <v>2680</v>
      </c>
      <c r="F343" s="297" t="s">
        <v>3060</v>
      </c>
      <c r="G343" s="297"/>
      <c r="H343" s="297" t="s">
        <v>3108</v>
      </c>
      <c r="I343" s="297" t="s">
        <v>3109</v>
      </c>
      <c r="J343" s="45" t="str">
        <f t="shared" si="10"/>
        <v>TinDowa</v>
      </c>
      <c r="K343" s="45" t="str">
        <f t="shared" si="11"/>
        <v>TinDowa</v>
      </c>
      <c r="T343"/>
    </row>
    <row r="344" spans="1:20" ht="10.5" customHeight="1">
      <c r="A344" s="297" t="s">
        <v>2291</v>
      </c>
      <c r="B344" s="297" t="s">
        <v>3389</v>
      </c>
      <c r="C344" s="297" t="s">
        <v>1759</v>
      </c>
      <c r="D344" s="297" t="s">
        <v>2217</v>
      </c>
      <c r="E344" s="297" t="s">
        <v>2680</v>
      </c>
      <c r="F344" s="297" t="s">
        <v>3060</v>
      </c>
      <c r="G344" s="297"/>
      <c r="H344" s="297" t="s">
        <v>3108</v>
      </c>
      <c r="I344" s="297" t="s">
        <v>3109</v>
      </c>
      <c r="J344" s="45" t="str">
        <f t="shared" si="10"/>
        <v>TinDowa Metaltech Co., Ltd.</v>
      </c>
      <c r="K344" s="45" t="str">
        <f t="shared" si="11"/>
        <v>TinDowa Metaltech Co., Ltd.</v>
      </c>
      <c r="T344"/>
    </row>
    <row r="345" spans="1:20" ht="10.5" customHeight="1">
      <c r="A345" s="297" t="s">
        <v>2291</v>
      </c>
      <c r="B345" s="297" t="s">
        <v>3453</v>
      </c>
      <c r="C345" s="297" t="s">
        <v>3453</v>
      </c>
      <c r="D345" s="297" t="s">
        <v>1737</v>
      </c>
      <c r="E345" s="297" t="s">
        <v>3454</v>
      </c>
      <c r="F345" s="297" t="s">
        <v>3060</v>
      </c>
      <c r="G345" s="297"/>
      <c r="H345" s="297" t="s">
        <v>3455</v>
      </c>
      <c r="I345" s="297" t="s">
        <v>3456</v>
      </c>
      <c r="J345" s="45" t="str">
        <f t="shared" si="10"/>
        <v>TinElectro-Mechanical Facility of the Cao Bang Minerals &amp; Metallurgy Joint Stock Company</v>
      </c>
      <c r="K345" s="45" t="str">
        <f t="shared" si="11"/>
        <v>TinElectro-Mechanical Facility of the Cao Bang Minerals &amp; Metallurgy Joint Stock Company</v>
      </c>
      <c r="T345"/>
    </row>
    <row r="346" spans="1:20" ht="10.5" customHeight="1">
      <c r="A346" s="297" t="s">
        <v>2291</v>
      </c>
      <c r="B346" s="297" t="s">
        <v>4608</v>
      </c>
      <c r="C346" s="297" t="s">
        <v>4608</v>
      </c>
      <c r="D346" s="297" t="s">
        <v>2174</v>
      </c>
      <c r="E346" s="297" t="s">
        <v>3471</v>
      </c>
      <c r="F346" s="297" t="s">
        <v>3060</v>
      </c>
      <c r="G346" s="297"/>
      <c r="H346" s="297" t="s">
        <v>3472</v>
      </c>
      <c r="I346" s="297" t="s">
        <v>3473</v>
      </c>
      <c r="J346" s="45" t="str">
        <f t="shared" si="10"/>
        <v>TinElmet S.L.U.</v>
      </c>
      <c r="K346" s="45" t="str">
        <f t="shared" si="11"/>
        <v>TinElmet S.L.U.</v>
      </c>
      <c r="T346"/>
    </row>
    <row r="347" spans="1:20" ht="10.5" customHeight="1">
      <c r="A347" s="297" t="s">
        <v>2291</v>
      </c>
      <c r="B347" s="297" t="s">
        <v>1480</v>
      </c>
      <c r="C347" s="297" t="s">
        <v>1480</v>
      </c>
      <c r="D347" s="297" t="s">
        <v>4874</v>
      </c>
      <c r="E347" s="297" t="s">
        <v>1345</v>
      </c>
      <c r="F347" s="297" t="s">
        <v>3060</v>
      </c>
      <c r="G347" s="297"/>
      <c r="H347" s="297" t="s">
        <v>3390</v>
      </c>
      <c r="I347" s="297" t="s">
        <v>3391</v>
      </c>
      <c r="J347" s="45" t="str">
        <f t="shared" si="10"/>
        <v>TinEM Vinto</v>
      </c>
      <c r="K347" s="45" t="str">
        <f t="shared" si="11"/>
        <v>TinEM Vinto</v>
      </c>
      <c r="T347"/>
    </row>
    <row r="348" spans="1:20" ht="10.5" customHeight="1">
      <c r="A348" s="297" t="s">
        <v>2291</v>
      </c>
      <c r="B348" s="297" t="s">
        <v>4193</v>
      </c>
      <c r="C348" s="297" t="s">
        <v>1480</v>
      </c>
      <c r="D348" s="297" t="s">
        <v>4874</v>
      </c>
      <c r="E348" s="297" t="s">
        <v>1345</v>
      </c>
      <c r="F348" s="297" t="s">
        <v>3060</v>
      </c>
      <c r="G348" s="297"/>
      <c r="H348" s="297" t="s">
        <v>3390</v>
      </c>
      <c r="I348" s="297" t="s">
        <v>3391</v>
      </c>
      <c r="J348" s="45" t="str">
        <f t="shared" si="10"/>
        <v>TinEmpresa Metalúrgica Vinto</v>
      </c>
      <c r="K348" s="45" t="str">
        <f t="shared" si="11"/>
        <v>TinEmpresa Metalúrgica Vinto</v>
      </c>
      <c r="T348"/>
    </row>
    <row r="349" spans="1:20" ht="10.5" customHeight="1">
      <c r="A349" s="297" t="s">
        <v>2291</v>
      </c>
      <c r="B349" s="297" t="s">
        <v>1907</v>
      </c>
      <c r="C349" s="297" t="s">
        <v>1480</v>
      </c>
      <c r="D349" s="297" t="s">
        <v>4874</v>
      </c>
      <c r="E349" s="297" t="s">
        <v>1345</v>
      </c>
      <c r="F349" s="297" t="s">
        <v>3060</v>
      </c>
      <c r="G349" s="297"/>
      <c r="H349" s="297" t="s">
        <v>3390</v>
      </c>
      <c r="I349" s="297" t="s">
        <v>3391</v>
      </c>
      <c r="J349" s="45" t="str">
        <f t="shared" si="10"/>
        <v>TinEmpressa Nacional de Fundiciones (ENAF)</v>
      </c>
      <c r="K349" s="45" t="str">
        <f t="shared" si="11"/>
        <v>TinEmpressa Nacional de Fundiciones (ENAF)</v>
      </c>
      <c r="T349"/>
    </row>
    <row r="350" spans="1:20" ht="10.5" customHeight="1">
      <c r="A350" s="297" t="s">
        <v>2291</v>
      </c>
      <c r="B350" s="297" t="s">
        <v>55</v>
      </c>
      <c r="C350" s="297" t="s">
        <v>1480</v>
      </c>
      <c r="D350" s="297" t="s">
        <v>4874</v>
      </c>
      <c r="E350" s="297" t="s">
        <v>1345</v>
      </c>
      <c r="F350" s="297" t="s">
        <v>3060</v>
      </c>
      <c r="G350" s="297"/>
      <c r="H350" s="297" t="s">
        <v>3390</v>
      </c>
      <c r="I350" s="297" t="s">
        <v>3391</v>
      </c>
      <c r="J350" s="45" t="str">
        <f t="shared" si="10"/>
        <v>TinENAF</v>
      </c>
      <c r="K350" s="45" t="str">
        <f t="shared" si="11"/>
        <v>TinENAF</v>
      </c>
      <c r="T350"/>
    </row>
    <row r="351" spans="1:20" ht="10.5" customHeight="1">
      <c r="A351" s="297" t="s">
        <v>2291</v>
      </c>
      <c r="B351" s="297" t="s">
        <v>1346</v>
      </c>
      <c r="C351" s="297" t="s">
        <v>1346</v>
      </c>
      <c r="D351" s="297" t="s">
        <v>2139</v>
      </c>
      <c r="E351" s="297" t="s">
        <v>1347</v>
      </c>
      <c r="F351" s="297" t="s">
        <v>3060</v>
      </c>
      <c r="G351" s="297"/>
      <c r="H351" s="297" t="s">
        <v>3382</v>
      </c>
      <c r="I351" s="297" t="s">
        <v>3392</v>
      </c>
      <c r="J351" s="45" t="str">
        <f t="shared" si="10"/>
        <v>TinEstanho de Rondônia S.A.</v>
      </c>
      <c r="K351" s="45" t="str">
        <f t="shared" si="11"/>
        <v>TinEstanho de Rondônia S.A.</v>
      </c>
      <c r="T351"/>
    </row>
    <row r="352" spans="1:20" ht="10.5" customHeight="1">
      <c r="A352" s="297" t="s">
        <v>2291</v>
      </c>
      <c r="B352" s="297" t="s">
        <v>1436</v>
      </c>
      <c r="C352" s="297" t="s">
        <v>1436</v>
      </c>
      <c r="D352" s="297" t="s">
        <v>1682</v>
      </c>
      <c r="E352" s="297" t="s">
        <v>1348</v>
      </c>
      <c r="F352" s="297" t="s">
        <v>3060</v>
      </c>
      <c r="G352" s="297"/>
      <c r="H352" s="297" t="s">
        <v>3395</v>
      </c>
      <c r="I352" s="297" t="s">
        <v>3396</v>
      </c>
      <c r="J352" s="45" t="str">
        <f t="shared" si="10"/>
        <v>TinFenix Metals</v>
      </c>
      <c r="K352" s="45" t="str">
        <f t="shared" si="11"/>
        <v>TinFenix Metals</v>
      </c>
      <c r="T352"/>
    </row>
    <row r="353" spans="1:20" ht="10.5" customHeight="1">
      <c r="A353" s="297" t="s">
        <v>2291</v>
      </c>
      <c r="B353" s="297" t="s">
        <v>3413</v>
      </c>
      <c r="C353" s="297" t="s">
        <v>1925</v>
      </c>
      <c r="D353" s="297" t="s">
        <v>1678</v>
      </c>
      <c r="E353" s="297" t="s">
        <v>1356</v>
      </c>
      <c r="F353" s="297" t="s">
        <v>3060</v>
      </c>
      <c r="G353" s="297"/>
      <c r="H353" s="297" t="s">
        <v>3411</v>
      </c>
      <c r="I353" s="297" t="s">
        <v>3412</v>
      </c>
      <c r="J353" s="45" t="str">
        <f t="shared" si="10"/>
        <v>TinFunsur Smelter</v>
      </c>
      <c r="K353" s="45" t="str">
        <f t="shared" si="11"/>
        <v>TinFunsur Smelter</v>
      </c>
      <c r="T353"/>
    </row>
    <row r="354" spans="1:20" ht="10.5" customHeight="1">
      <c r="A354" s="297" t="s">
        <v>2291</v>
      </c>
      <c r="B354" s="297" t="s">
        <v>4986</v>
      </c>
      <c r="C354" s="297" t="s">
        <v>4069</v>
      </c>
      <c r="D354" s="297" t="s">
        <v>2150</v>
      </c>
      <c r="E354" s="297" t="s">
        <v>1382</v>
      </c>
      <c r="F354" s="297" t="s">
        <v>3060</v>
      </c>
      <c r="G354" s="297"/>
      <c r="H354" s="297" t="s">
        <v>4910</v>
      </c>
      <c r="I354" s="297" t="s">
        <v>3096</v>
      </c>
      <c r="J354" s="45" t="str">
        <f t="shared" si="10"/>
        <v>TinGejiu City Datun Chengfeng Smelter</v>
      </c>
      <c r="K354" s="45" t="str">
        <f t="shared" si="11"/>
        <v>TinGejiu City Datun Chengfeng Smelter</v>
      </c>
      <c r="T354"/>
    </row>
    <row r="355" spans="1:20" ht="10.5" customHeight="1">
      <c r="A355" s="297" t="s">
        <v>2291</v>
      </c>
      <c r="B355" s="297" t="s">
        <v>4609</v>
      </c>
      <c r="C355" s="297" t="s">
        <v>4609</v>
      </c>
      <c r="D355" s="297" t="s">
        <v>2150</v>
      </c>
      <c r="E355" s="297" t="s">
        <v>4242</v>
      </c>
      <c r="F355" s="297" t="s">
        <v>3060</v>
      </c>
      <c r="G355" s="297"/>
      <c r="H355" s="297" t="s">
        <v>4910</v>
      </c>
      <c r="I355" s="297" t="s">
        <v>3096</v>
      </c>
      <c r="J355" s="45" t="str">
        <f t="shared" si="10"/>
        <v>TinGejiu Fengming Metallurgy Chemical Plant</v>
      </c>
      <c r="K355" s="45" t="str">
        <f t="shared" si="11"/>
        <v>TinGejiu Fengming Metallurgy Chemical Plant</v>
      </c>
      <c r="T355"/>
    </row>
    <row r="356" spans="1:20" ht="10.5" customHeight="1">
      <c r="A356" s="297" t="s">
        <v>2291</v>
      </c>
      <c r="B356" s="297" t="s">
        <v>4610</v>
      </c>
      <c r="C356" s="297" t="s">
        <v>4610</v>
      </c>
      <c r="D356" s="297" t="s">
        <v>2150</v>
      </c>
      <c r="E356" s="297" t="s">
        <v>4611</v>
      </c>
      <c r="F356" s="297" t="s">
        <v>3060</v>
      </c>
      <c r="G356" s="297"/>
      <c r="H356" s="297" t="s">
        <v>4910</v>
      </c>
      <c r="I356" s="297" t="s">
        <v>3096</v>
      </c>
      <c r="J356" s="45" t="str">
        <f t="shared" si="10"/>
        <v>TinGejiu Jinye Mineral Company</v>
      </c>
      <c r="K356" s="45" t="str">
        <f t="shared" si="11"/>
        <v>TinGejiu Jinye Mineral Company</v>
      </c>
      <c r="T356"/>
    </row>
    <row r="357" spans="1:20" ht="10.5" customHeight="1">
      <c r="A357" s="297" t="s">
        <v>2291</v>
      </c>
      <c r="B357" s="297" t="s">
        <v>2705</v>
      </c>
      <c r="C357" s="297" t="s">
        <v>2705</v>
      </c>
      <c r="D357" s="297" t="s">
        <v>2150</v>
      </c>
      <c r="E357" s="297" t="s">
        <v>1352</v>
      </c>
      <c r="F357" s="297" t="s">
        <v>3060</v>
      </c>
      <c r="G357" s="297"/>
      <c r="H357" s="297" t="s">
        <v>4910</v>
      </c>
      <c r="I357" s="297" t="s">
        <v>3096</v>
      </c>
      <c r="J357" s="45" t="str">
        <f t="shared" si="10"/>
        <v>TinGejiu Kai Meng Industry and Trade LLC</v>
      </c>
      <c r="K357" s="45" t="str">
        <f t="shared" si="11"/>
        <v>TinGejiu Kai Meng Industry and Trade LLC</v>
      </c>
      <c r="T357"/>
    </row>
    <row r="358" spans="1:20" ht="10.5" customHeight="1">
      <c r="A358" s="297" t="s">
        <v>2291</v>
      </c>
      <c r="B358" s="297" t="s">
        <v>4042</v>
      </c>
      <c r="C358" s="297" t="s">
        <v>4042</v>
      </c>
      <c r="D358" s="297" t="s">
        <v>2150</v>
      </c>
      <c r="E358" s="297" t="s">
        <v>1349</v>
      </c>
      <c r="F358" s="297" t="s">
        <v>3060</v>
      </c>
      <c r="G358" s="297"/>
      <c r="H358" s="297" t="s">
        <v>4910</v>
      </c>
      <c r="I358" s="297" t="s">
        <v>3096</v>
      </c>
      <c r="J358" s="45" t="str">
        <f t="shared" si="10"/>
        <v>TinGejiu Non-Ferrous Metal Processing Co., Ltd.</v>
      </c>
      <c r="K358" s="45" t="str">
        <f t="shared" si="11"/>
        <v>TinGejiu Non-Ferrous Metal Processing Co., Ltd.</v>
      </c>
      <c r="T358"/>
    </row>
    <row r="359" spans="1:20" ht="10.5" customHeight="1">
      <c r="A359" s="297" t="s">
        <v>2291</v>
      </c>
      <c r="B359" s="297" t="s">
        <v>3435</v>
      </c>
      <c r="C359" s="297" t="s">
        <v>3435</v>
      </c>
      <c r="D359" s="297" t="s">
        <v>2150</v>
      </c>
      <c r="E359" s="297" t="s">
        <v>3436</v>
      </c>
      <c r="F359" s="297" t="s">
        <v>3060</v>
      </c>
      <c r="G359" s="297"/>
      <c r="H359" s="297" t="s">
        <v>4910</v>
      </c>
      <c r="I359" s="297" t="s">
        <v>3096</v>
      </c>
      <c r="J359" s="45" t="str">
        <f t="shared" si="10"/>
        <v>TinGejiu Yunxin Nonferrous Electrolysis Co., Ltd.</v>
      </c>
      <c r="K359" s="45" t="str">
        <f t="shared" si="11"/>
        <v>TinGejiu Yunxin Nonferrous Electrolysis Co., Ltd.</v>
      </c>
      <c r="T359"/>
    </row>
    <row r="360" spans="1:20" ht="10.5" customHeight="1">
      <c r="A360" s="297" t="s">
        <v>2291</v>
      </c>
      <c r="B360" s="297" t="s">
        <v>1481</v>
      </c>
      <c r="C360" s="297" t="s">
        <v>3397</v>
      </c>
      <c r="D360" s="297" t="s">
        <v>2150</v>
      </c>
      <c r="E360" s="297" t="s">
        <v>1350</v>
      </c>
      <c r="F360" s="297" t="s">
        <v>3060</v>
      </c>
      <c r="G360" s="297"/>
      <c r="H360" s="297" t="s">
        <v>4910</v>
      </c>
      <c r="I360" s="297" t="s">
        <v>3096</v>
      </c>
      <c r="J360" s="45" t="str">
        <f t="shared" si="10"/>
        <v>TinGejiu Zi-Li</v>
      </c>
      <c r="K360" s="45" t="str">
        <f t="shared" si="11"/>
        <v>TinGejiu Zi-Li</v>
      </c>
      <c r="T360"/>
    </row>
    <row r="361" spans="1:20" ht="10.5" customHeight="1">
      <c r="A361" s="297" t="s">
        <v>2291</v>
      </c>
      <c r="B361" s="297" t="s">
        <v>3397</v>
      </c>
      <c r="C361" s="297" t="s">
        <v>3397</v>
      </c>
      <c r="D361" s="297" t="s">
        <v>2150</v>
      </c>
      <c r="E361" s="297" t="s">
        <v>1350</v>
      </c>
      <c r="F361" s="297" t="s">
        <v>3060</v>
      </c>
      <c r="G361" s="297"/>
      <c r="H361" s="297" t="s">
        <v>4910</v>
      </c>
      <c r="I361" s="297" t="s">
        <v>3096</v>
      </c>
      <c r="J361" s="45" t="str">
        <f t="shared" si="10"/>
        <v>TinGejiu Zili Mining And Metallurgy Co., Ltd.</v>
      </c>
      <c r="K361" s="45" t="str">
        <f t="shared" si="11"/>
        <v>TinGejiu Zili Mining And Metallurgy Co., Ltd.</v>
      </c>
      <c r="T361"/>
    </row>
    <row r="362" spans="1:20" ht="10.5" customHeight="1">
      <c r="A362" s="297" t="s">
        <v>2291</v>
      </c>
      <c r="B362" s="297" t="s">
        <v>3401</v>
      </c>
      <c r="C362" s="297" t="s">
        <v>2543</v>
      </c>
      <c r="D362" s="297" t="s">
        <v>2150</v>
      </c>
      <c r="E362" s="297" t="s">
        <v>1353</v>
      </c>
      <c r="F362" s="297" t="s">
        <v>3060</v>
      </c>
      <c r="G362" s="297"/>
      <c r="H362" s="297" t="s">
        <v>3400</v>
      </c>
      <c r="I362" s="297" t="s">
        <v>3373</v>
      </c>
      <c r="J362" s="45" t="str">
        <f t="shared" si="10"/>
        <v>TinGuang Xi Liu Xhou</v>
      </c>
      <c r="K362" s="45" t="str">
        <f t="shared" si="11"/>
        <v>TinGuang Xi Liu Xhou</v>
      </c>
      <c r="T362"/>
    </row>
    <row r="363" spans="1:20" ht="10.5" customHeight="1">
      <c r="A363" s="297" t="s">
        <v>2291</v>
      </c>
      <c r="B363" s="297" t="s">
        <v>4606</v>
      </c>
      <c r="C363" s="297" t="s">
        <v>2543</v>
      </c>
      <c r="D363" s="297" t="s">
        <v>2150</v>
      </c>
      <c r="E363" s="297" t="s">
        <v>1353</v>
      </c>
      <c r="F363" s="297" t="s">
        <v>3060</v>
      </c>
      <c r="G363" s="297"/>
      <c r="H363" s="297" t="s">
        <v>3400</v>
      </c>
      <c r="I363" s="297" t="s">
        <v>3373</v>
      </c>
      <c r="J363" s="45" t="str">
        <f t="shared" si="10"/>
        <v>TinGuang Xi Liu Zhou</v>
      </c>
      <c r="K363" s="45" t="str">
        <f t="shared" si="11"/>
        <v>TinGuang Xi Liu Zhou</v>
      </c>
      <c r="T363"/>
    </row>
    <row r="364" spans="1:20" ht="10.5" customHeight="1">
      <c r="A364" s="297" t="s">
        <v>2291</v>
      </c>
      <c r="B364" s="297" t="s">
        <v>56</v>
      </c>
      <c r="C364" s="297" t="s">
        <v>2543</v>
      </c>
      <c r="D364" s="297" t="s">
        <v>2150</v>
      </c>
      <c r="E364" s="297" t="s">
        <v>1353</v>
      </c>
      <c r="F364" s="297" t="s">
        <v>3060</v>
      </c>
      <c r="G364" s="297"/>
      <c r="H364" s="297" t="s">
        <v>3400</v>
      </c>
      <c r="I364" s="297" t="s">
        <v>3373</v>
      </c>
      <c r="J364" s="45" t="str">
        <f t="shared" si="10"/>
        <v>TinGuangXi China Tin</v>
      </c>
      <c r="K364" s="45" t="str">
        <f t="shared" si="11"/>
        <v>TinGuangXi China Tin</v>
      </c>
      <c r="T364"/>
    </row>
    <row r="365" spans="1:20" ht="10.5" customHeight="1">
      <c r="A365" s="297" t="s">
        <v>2291</v>
      </c>
      <c r="B365" s="297" t="s">
        <v>2340</v>
      </c>
      <c r="C365" s="297" t="s">
        <v>4039</v>
      </c>
      <c r="D365" s="297" t="s">
        <v>2150</v>
      </c>
      <c r="E365" s="297" t="s">
        <v>1340</v>
      </c>
      <c r="F365" s="297" t="s">
        <v>3060</v>
      </c>
      <c r="G365" s="297"/>
      <c r="H365" s="297" t="s">
        <v>3372</v>
      </c>
      <c r="I365" s="297" t="s">
        <v>3373</v>
      </c>
      <c r="J365" s="45" t="str">
        <f t="shared" si="10"/>
        <v>TinGuangxi Pinggui PGMA Co. Ltd.</v>
      </c>
      <c r="K365" s="45" t="str">
        <f t="shared" si="11"/>
        <v>TinGuangxi Pinggui PGMA Co. Ltd.</v>
      </c>
      <c r="T365"/>
    </row>
    <row r="366" spans="1:20" ht="10.5" customHeight="1">
      <c r="A366" s="297" t="s">
        <v>2291</v>
      </c>
      <c r="B366" s="297" t="s">
        <v>4243</v>
      </c>
      <c r="C366" s="297" t="s">
        <v>4243</v>
      </c>
      <c r="D366" s="297" t="s">
        <v>2150</v>
      </c>
      <c r="E366" s="297" t="s">
        <v>4244</v>
      </c>
      <c r="F366" s="297" t="s">
        <v>3060</v>
      </c>
      <c r="G366" s="297"/>
      <c r="H366" s="297" t="s">
        <v>4245</v>
      </c>
      <c r="I366" s="297" t="s">
        <v>3373</v>
      </c>
      <c r="J366" s="45" t="str">
        <f t="shared" si="10"/>
        <v>TinGuanyang Guida Nonferrous Metal Smelting Plant</v>
      </c>
      <c r="K366" s="45" t="str">
        <f t="shared" si="11"/>
        <v>TinGuanyang Guida Nonferrous Metal Smelting Plant</v>
      </c>
      <c r="T366"/>
    </row>
    <row r="367" spans="1:20" ht="10.5" customHeight="1">
      <c r="A367" s="297" t="s">
        <v>2291</v>
      </c>
      <c r="B367" s="297" t="s">
        <v>4273</v>
      </c>
      <c r="C367" s="297" t="s">
        <v>4273</v>
      </c>
      <c r="D367" s="297" t="s">
        <v>2150</v>
      </c>
      <c r="E367" s="297" t="s">
        <v>4274</v>
      </c>
      <c r="F367" s="297" t="s">
        <v>3060</v>
      </c>
      <c r="G367" s="297"/>
      <c r="H367" s="297" t="s">
        <v>3398</v>
      </c>
      <c r="I367" s="297" t="s">
        <v>3139</v>
      </c>
      <c r="J367" s="45" t="str">
        <f t="shared" si="10"/>
        <v>TinHuiChang Hill Tin Industry Co., Ltd.</v>
      </c>
      <c r="K367" s="45" t="str">
        <f t="shared" si="11"/>
        <v>TinHuiChang Hill Tin Industry Co., Ltd.</v>
      </c>
      <c r="T367"/>
    </row>
    <row r="368" spans="1:20" ht="10.5" customHeight="1">
      <c r="A368" s="297" t="s">
        <v>2291</v>
      </c>
      <c r="B368" s="297" t="s">
        <v>4043</v>
      </c>
      <c r="C368" s="297" t="s">
        <v>4043</v>
      </c>
      <c r="D368" s="297" t="s">
        <v>2150</v>
      </c>
      <c r="E368" s="297" t="s">
        <v>1351</v>
      </c>
      <c r="F368" s="297" t="s">
        <v>3060</v>
      </c>
      <c r="G368" s="297"/>
      <c r="H368" s="297" t="s">
        <v>3398</v>
      </c>
      <c r="I368" s="297" t="s">
        <v>3139</v>
      </c>
      <c r="J368" s="45" t="str">
        <f t="shared" si="10"/>
        <v>TinHuichang Jinshunda Tin Co., Ltd.</v>
      </c>
      <c r="K368" s="45" t="str">
        <f t="shared" si="11"/>
        <v>TinHuichang Jinshunda Tin Co., Ltd.</v>
      </c>
      <c r="T368"/>
    </row>
    <row r="369" spans="1:20" ht="10.5" customHeight="1">
      <c r="A369" s="297" t="s">
        <v>2291</v>
      </c>
      <c r="B369" s="297" t="s">
        <v>57</v>
      </c>
      <c r="C369" s="297" t="s">
        <v>4043</v>
      </c>
      <c r="D369" s="297" t="s">
        <v>2150</v>
      </c>
      <c r="E369" s="297" t="s">
        <v>1351</v>
      </c>
      <c r="F369" s="297" t="s">
        <v>3060</v>
      </c>
      <c r="G369" s="297"/>
      <c r="H369" s="297" t="s">
        <v>3398</v>
      </c>
      <c r="I369" s="297" t="s">
        <v>3139</v>
      </c>
      <c r="J369" s="45" t="str">
        <f t="shared" si="10"/>
        <v>TinHuichang Shun Tin Kam Industries, Ltd.</v>
      </c>
      <c r="K369" s="45" t="str">
        <f t="shared" si="11"/>
        <v>TinHuichang Shun Tin Kam Industries, Ltd.</v>
      </c>
      <c r="T369"/>
    </row>
    <row r="370" spans="1:20" ht="10.5" customHeight="1">
      <c r="A370" s="297" t="s">
        <v>2291</v>
      </c>
      <c r="B370" s="297" t="s">
        <v>4620</v>
      </c>
      <c r="C370" s="297" t="s">
        <v>4151</v>
      </c>
      <c r="D370" s="297" t="s">
        <v>2206</v>
      </c>
      <c r="E370" s="297" t="s">
        <v>1375</v>
      </c>
      <c r="F370" s="297" t="s">
        <v>3060</v>
      </c>
      <c r="G370" s="297"/>
      <c r="H370" s="297" t="s">
        <v>3429</v>
      </c>
      <c r="I370" s="297" t="s">
        <v>3385</v>
      </c>
      <c r="J370" s="45" t="str">
        <f t="shared" si="10"/>
        <v>TinINDONESIAN STATE TIN CORPORATION MENTOK SMELTER</v>
      </c>
      <c r="K370" s="45" t="str">
        <f t="shared" si="11"/>
        <v>TinINDONESIAN STATE TIN CORPORATION MENTOK SMELTER</v>
      </c>
      <c r="T370"/>
    </row>
    <row r="371" spans="1:20" ht="10.5" customHeight="1">
      <c r="A371" s="297" t="s">
        <v>2291</v>
      </c>
      <c r="B371" s="297" t="s">
        <v>1150</v>
      </c>
      <c r="C371" s="297" t="s">
        <v>1172</v>
      </c>
      <c r="D371" s="297" t="s">
        <v>2206</v>
      </c>
      <c r="E371" s="297" t="s">
        <v>1365</v>
      </c>
      <c r="F371" s="297" t="s">
        <v>3060</v>
      </c>
      <c r="G371" s="297"/>
      <c r="H371" s="297" t="s">
        <v>3388</v>
      </c>
      <c r="I371" s="297" t="s">
        <v>3385</v>
      </c>
      <c r="J371" s="45" t="str">
        <f t="shared" si="10"/>
        <v>TinIndra Eramulti Logam</v>
      </c>
      <c r="K371" s="45" t="str">
        <f t="shared" si="11"/>
        <v>TinIndra Eramulti Logam</v>
      </c>
      <c r="T371"/>
    </row>
    <row r="372" spans="1:20" ht="10.5" customHeight="1">
      <c r="A372" s="297" t="s">
        <v>2291</v>
      </c>
      <c r="B372" s="297" t="s">
        <v>3371</v>
      </c>
      <c r="C372" s="297" t="s">
        <v>3371</v>
      </c>
      <c r="D372" s="297" t="s">
        <v>2150</v>
      </c>
      <c r="E372" s="297" t="s">
        <v>1339</v>
      </c>
      <c r="F372" s="297" t="s">
        <v>3060</v>
      </c>
      <c r="G372" s="297"/>
      <c r="H372" s="297" t="s">
        <v>3337</v>
      </c>
      <c r="I372" s="297" t="s">
        <v>3139</v>
      </c>
      <c r="J372" s="45" t="str">
        <f t="shared" si="10"/>
        <v>TinJiangxi Ketai Advanced Material Co., Ltd.</v>
      </c>
      <c r="K372" s="45" t="str">
        <f t="shared" si="11"/>
        <v>TinJiangxi Ketai Advanced Material Co., Ltd.</v>
      </c>
      <c r="T372"/>
    </row>
    <row r="373" spans="1:20" ht="10.5" customHeight="1">
      <c r="A373" s="297" t="s">
        <v>2291</v>
      </c>
      <c r="B373" s="297" t="s">
        <v>4194</v>
      </c>
      <c r="C373" s="297" t="s">
        <v>4053</v>
      </c>
      <c r="D373" s="297" t="s">
        <v>2150</v>
      </c>
      <c r="E373" s="297" t="s">
        <v>3415</v>
      </c>
      <c r="F373" s="297" t="s">
        <v>3060</v>
      </c>
      <c r="G373" s="297"/>
      <c r="H373" s="297" t="s">
        <v>3398</v>
      </c>
      <c r="I373" s="297" t="s">
        <v>3139</v>
      </c>
      <c r="J373" s="45" t="str">
        <f t="shared" si="10"/>
        <v>TinJiangxi Nanshan</v>
      </c>
      <c r="K373" s="45" t="str">
        <f t="shared" si="11"/>
        <v>TinJiangxi Nanshan</v>
      </c>
      <c r="T373"/>
    </row>
    <row r="374" spans="1:20" ht="10.5" customHeight="1">
      <c r="A374" s="297" t="s">
        <v>2291</v>
      </c>
      <c r="B374" s="297" t="s">
        <v>4172</v>
      </c>
      <c r="C374" s="297" t="s">
        <v>4043</v>
      </c>
      <c r="D374" s="297" t="s">
        <v>2150</v>
      </c>
      <c r="E374" s="297" t="s">
        <v>1351</v>
      </c>
      <c r="F374" s="297" t="s">
        <v>3060</v>
      </c>
      <c r="G374" s="297"/>
      <c r="H374" s="297" t="s">
        <v>3398</v>
      </c>
      <c r="I374" s="297" t="s">
        <v>3139</v>
      </c>
      <c r="J374" s="45" t="str">
        <f t="shared" si="10"/>
        <v>TinJiangxi Shunda Huichang Kam Tin Co., Ltd.</v>
      </c>
      <c r="K374" s="45" t="str">
        <f t="shared" si="11"/>
        <v>TinJiangxi Shunda Huichang Kam Tin Co., Ltd.</v>
      </c>
      <c r="T374"/>
    </row>
    <row r="375" spans="1:20" ht="10.5" customHeight="1">
      <c r="A375" s="297" t="s">
        <v>2291</v>
      </c>
      <c r="B375" s="297" t="s">
        <v>4195</v>
      </c>
      <c r="C375" s="297" t="s">
        <v>2705</v>
      </c>
      <c r="D375" s="297" t="s">
        <v>2150</v>
      </c>
      <c r="E375" s="297" t="s">
        <v>1352</v>
      </c>
      <c r="F375" s="297" t="s">
        <v>3060</v>
      </c>
      <c r="G375" s="297"/>
      <c r="H375" s="297" t="s">
        <v>4910</v>
      </c>
      <c r="I375" s="297" t="s">
        <v>3096</v>
      </c>
      <c r="J375" s="45" t="str">
        <f t="shared" si="10"/>
        <v>TinKai Union Industry and Trade Co., Ltd. (China)</v>
      </c>
      <c r="K375" s="45" t="str">
        <f t="shared" si="11"/>
        <v>TinKai Union Industry and Trade Co., Ltd. (China)</v>
      </c>
      <c r="T375"/>
    </row>
    <row r="376" spans="1:20" ht="10.5" customHeight="1">
      <c r="A376" s="297" t="s">
        <v>2291</v>
      </c>
      <c r="B376" s="297" t="s">
        <v>965</v>
      </c>
      <c r="C376" s="297" t="s">
        <v>2705</v>
      </c>
      <c r="D376" s="297" t="s">
        <v>2150</v>
      </c>
      <c r="E376" s="297" t="s">
        <v>1352</v>
      </c>
      <c r="F376" s="297" t="s">
        <v>3060</v>
      </c>
      <c r="G376" s="297"/>
      <c r="H376" s="297" t="s">
        <v>4910</v>
      </c>
      <c r="I376" s="297" t="s">
        <v>3096</v>
      </c>
      <c r="J376" s="45" t="str">
        <f t="shared" si="10"/>
        <v>TinKai Unita Trade Limited Liability Company</v>
      </c>
      <c r="K376" s="45" t="str">
        <f t="shared" si="11"/>
        <v>TinKai Unita Trade Limited Liability Company</v>
      </c>
      <c r="T376"/>
    </row>
    <row r="377" spans="1:20" ht="10.5" customHeight="1">
      <c r="A377" s="297" t="s">
        <v>2291</v>
      </c>
      <c r="B377" s="297" t="s">
        <v>3428</v>
      </c>
      <c r="C377" s="297" t="s">
        <v>3425</v>
      </c>
      <c r="D377" s="297" t="s">
        <v>2206</v>
      </c>
      <c r="E377" s="297" t="s">
        <v>1399</v>
      </c>
      <c r="F377" s="297" t="s">
        <v>3060</v>
      </c>
      <c r="G377" s="297"/>
      <c r="H377" s="297" t="s">
        <v>3426</v>
      </c>
      <c r="I377" s="297" t="s">
        <v>3427</v>
      </c>
      <c r="J377" s="45" t="str">
        <f t="shared" si="10"/>
        <v>TinKundur Smelter</v>
      </c>
      <c r="K377" s="45" t="str">
        <f t="shared" si="11"/>
        <v>TinKundur Smelter</v>
      </c>
      <c r="T377"/>
    </row>
    <row r="378" spans="1:20" ht="10.5" customHeight="1">
      <c r="A378" s="297" t="s">
        <v>2291</v>
      </c>
      <c r="B378" s="297" t="s">
        <v>3402</v>
      </c>
      <c r="C378" s="297" t="s">
        <v>2543</v>
      </c>
      <c r="D378" s="297" t="s">
        <v>2150</v>
      </c>
      <c r="E378" s="297" t="s">
        <v>1353</v>
      </c>
      <c r="F378" s="297" t="s">
        <v>3060</v>
      </c>
      <c r="G378" s="297"/>
      <c r="H378" s="297" t="s">
        <v>3400</v>
      </c>
      <c r="I378" s="297" t="s">
        <v>3373</v>
      </c>
      <c r="J378" s="45" t="str">
        <f t="shared" si="10"/>
        <v>TinLiuzhhou China Tin</v>
      </c>
      <c r="K378" s="45" t="str">
        <f t="shared" si="11"/>
        <v>TinLiuzhhou China Tin</v>
      </c>
      <c r="T378"/>
    </row>
    <row r="379" spans="1:20" ht="10.5" customHeight="1">
      <c r="A379" s="297" t="s">
        <v>2291</v>
      </c>
      <c r="B379" s="297" t="s">
        <v>4071</v>
      </c>
      <c r="C379" s="297" t="s">
        <v>4071</v>
      </c>
      <c r="D379" s="297" t="s">
        <v>2139</v>
      </c>
      <c r="E379" s="297" t="s">
        <v>197</v>
      </c>
      <c r="F379" s="297" t="s">
        <v>3060</v>
      </c>
      <c r="G379" s="297"/>
      <c r="H379" s="297" t="s">
        <v>3312</v>
      </c>
      <c r="I379" s="297" t="s">
        <v>3071</v>
      </c>
      <c r="J379" s="45" t="str">
        <f t="shared" si="10"/>
        <v>TinMagnu's Minerais Metais e Ligas Ltda.</v>
      </c>
      <c r="K379" s="45" t="str">
        <f t="shared" si="11"/>
        <v>TinMagnu's Minerais Metais e Ligas Ltda.</v>
      </c>
      <c r="T379"/>
    </row>
    <row r="380" spans="1:20" ht="10.5" customHeight="1">
      <c r="A380" s="297" t="s">
        <v>2291</v>
      </c>
      <c r="B380" s="297" t="s">
        <v>1445</v>
      </c>
      <c r="C380" s="297" t="s">
        <v>1445</v>
      </c>
      <c r="D380" s="297" t="s">
        <v>2256</v>
      </c>
      <c r="E380" s="297" t="s">
        <v>1354</v>
      </c>
      <c r="F380" s="297" t="s">
        <v>3060</v>
      </c>
      <c r="G380" s="297"/>
      <c r="H380" s="297" t="s">
        <v>3405</v>
      </c>
      <c r="I380" s="297" t="s">
        <v>3406</v>
      </c>
      <c r="J380" s="45" t="str">
        <f t="shared" si="10"/>
        <v>TinMalaysia Smelting Corporation (MSC)</v>
      </c>
      <c r="K380" s="45" t="str">
        <f t="shared" si="11"/>
        <v>TinMalaysia Smelting Corporation (MSC)</v>
      </c>
      <c r="T380"/>
    </row>
    <row r="381" spans="1:20" ht="10.5" customHeight="1">
      <c r="A381" s="297" t="s">
        <v>2291</v>
      </c>
      <c r="B381" s="297" t="s">
        <v>4615</v>
      </c>
      <c r="C381" s="297" t="s">
        <v>4615</v>
      </c>
      <c r="D381" s="297" t="s">
        <v>2139</v>
      </c>
      <c r="E381" s="297" t="s">
        <v>2541</v>
      </c>
      <c r="F381" s="297" t="s">
        <v>3060</v>
      </c>
      <c r="G381" s="297"/>
      <c r="H381" s="297" t="s">
        <v>3382</v>
      </c>
      <c r="I381" s="297" t="s">
        <v>3383</v>
      </c>
      <c r="J381" s="45" t="str">
        <f t="shared" si="10"/>
        <v>TinMelt Metais e Ligas S.A.</v>
      </c>
      <c r="K381" s="45" t="str">
        <f t="shared" si="11"/>
        <v>TinMelt Metais e Ligas S.A.</v>
      </c>
      <c r="T381"/>
    </row>
    <row r="382" spans="1:20" ht="10.5" customHeight="1">
      <c r="A382" s="297" t="s">
        <v>2291</v>
      </c>
      <c r="B382" s="297" t="s">
        <v>4196</v>
      </c>
      <c r="C382" s="297" t="s">
        <v>4151</v>
      </c>
      <c r="D382" s="297" t="s">
        <v>2206</v>
      </c>
      <c r="E382" s="297" t="s">
        <v>1375</v>
      </c>
      <c r="F382" s="297" t="s">
        <v>3060</v>
      </c>
      <c r="G382" s="297"/>
      <c r="H382" s="297" t="s">
        <v>3429</v>
      </c>
      <c r="I382" s="297" t="s">
        <v>3385</v>
      </c>
      <c r="J382" s="45" t="str">
        <f t="shared" si="10"/>
        <v>TinMentok Smelter</v>
      </c>
      <c r="K382" s="45" t="str">
        <f t="shared" si="11"/>
        <v>TinMentok Smelter</v>
      </c>
      <c r="T382"/>
    </row>
    <row r="383" spans="1:20" ht="10.5" customHeight="1">
      <c r="A383" s="297" t="s">
        <v>2291</v>
      </c>
      <c r="B383" s="297" t="s">
        <v>3403</v>
      </c>
      <c r="C383" s="297" t="s">
        <v>2543</v>
      </c>
      <c r="D383" s="297" t="s">
        <v>2150</v>
      </c>
      <c r="E383" s="297" t="s">
        <v>1353</v>
      </c>
      <c r="F383" s="297" t="s">
        <v>3060</v>
      </c>
      <c r="G383" s="297"/>
      <c r="H383" s="297" t="s">
        <v>3400</v>
      </c>
      <c r="I383" s="297" t="s">
        <v>3373</v>
      </c>
      <c r="J383" s="45" t="str">
        <f t="shared" si="10"/>
        <v>TinMetallic Materials Branch of Guangxi China Tin Group Co.,Ltd.</v>
      </c>
      <c r="K383" s="45" t="str">
        <f t="shared" si="11"/>
        <v>TinMetallic Materials Branch of Guangxi China Tin Group Co.,Ltd.</v>
      </c>
      <c r="T383"/>
    </row>
    <row r="384" spans="1:20" ht="10.5" customHeight="1">
      <c r="A384" s="297" t="s">
        <v>2291</v>
      </c>
      <c r="B384" s="297" t="s">
        <v>4049</v>
      </c>
      <c r="C384" s="297" t="s">
        <v>4049</v>
      </c>
      <c r="D384" s="297" t="s">
        <v>4880</v>
      </c>
      <c r="E384" s="297" t="s">
        <v>3407</v>
      </c>
      <c r="F384" s="297" t="s">
        <v>3060</v>
      </c>
      <c r="G384" s="297"/>
      <c r="H384" s="297" t="s">
        <v>3408</v>
      </c>
      <c r="I384" s="297" t="s">
        <v>3191</v>
      </c>
      <c r="J384" s="45" t="str">
        <f t="shared" si="10"/>
        <v>TinMetallic Resources, Inc.</v>
      </c>
      <c r="K384" s="45" t="str">
        <f t="shared" si="11"/>
        <v>TinMetallic Resources, Inc.</v>
      </c>
      <c r="T384"/>
    </row>
    <row r="385" spans="1:20" ht="10.5" customHeight="1">
      <c r="A385" s="297" t="s">
        <v>2291</v>
      </c>
      <c r="B385" s="297" t="s">
        <v>3468</v>
      </c>
      <c r="C385" s="297" t="s">
        <v>3468</v>
      </c>
      <c r="D385" s="297" t="s">
        <v>2128</v>
      </c>
      <c r="E385" s="297" t="s">
        <v>3469</v>
      </c>
      <c r="F385" s="297" t="s">
        <v>3060</v>
      </c>
      <c r="G385" s="297"/>
      <c r="H385" s="297" t="s">
        <v>3470</v>
      </c>
      <c r="I385" s="297" t="s">
        <v>3250</v>
      </c>
      <c r="J385" s="45" t="str">
        <f t="shared" si="10"/>
        <v>TinMetallo-Chimique N.V.</v>
      </c>
      <c r="K385" s="45" t="str">
        <f t="shared" si="11"/>
        <v>TinMetallo-Chimique N.V.</v>
      </c>
      <c r="T385"/>
    </row>
    <row r="386" spans="1:20" ht="10.5" customHeight="1">
      <c r="A386" s="297" t="s">
        <v>2291</v>
      </c>
      <c r="B386" s="297" t="s">
        <v>1924</v>
      </c>
      <c r="C386" s="297" t="s">
        <v>1924</v>
      </c>
      <c r="D386" s="297" t="s">
        <v>2139</v>
      </c>
      <c r="E386" s="297" t="s">
        <v>1355</v>
      </c>
      <c r="F386" s="297" t="s">
        <v>3060</v>
      </c>
      <c r="G386" s="297"/>
      <c r="H386" s="297" t="s">
        <v>3409</v>
      </c>
      <c r="I386" s="297" t="s">
        <v>3248</v>
      </c>
      <c r="J386" s="45" t="str">
        <f t="shared" si="10"/>
        <v>TinMineração Taboca S.A.</v>
      </c>
      <c r="K386" s="45" t="str">
        <f t="shared" si="11"/>
        <v>TinMineração Taboca S.A.</v>
      </c>
      <c r="T386"/>
    </row>
    <row r="387" spans="1:20" ht="10.5" customHeight="1">
      <c r="A387" s="297" t="s">
        <v>2291</v>
      </c>
      <c r="B387" s="297" t="s">
        <v>1925</v>
      </c>
      <c r="C387" s="297" t="s">
        <v>1925</v>
      </c>
      <c r="D387" s="297" t="s">
        <v>1678</v>
      </c>
      <c r="E387" s="297" t="s">
        <v>1356</v>
      </c>
      <c r="F387" s="297" t="s">
        <v>3060</v>
      </c>
      <c r="G387" s="297"/>
      <c r="H387" s="297" t="s">
        <v>3411</v>
      </c>
      <c r="I387" s="297" t="s">
        <v>3412</v>
      </c>
      <c r="J387" s="45" t="str">
        <f t="shared" si="10"/>
        <v>TinMinsur</v>
      </c>
      <c r="K387" s="45" t="str">
        <f t="shared" si="11"/>
        <v>TinMinsur</v>
      </c>
      <c r="T387"/>
    </row>
    <row r="388" spans="1:20" ht="10.5" customHeight="1">
      <c r="A388" s="297" t="s">
        <v>2291</v>
      </c>
      <c r="B388" s="297" t="s">
        <v>2338</v>
      </c>
      <c r="C388" s="297" t="s">
        <v>2338</v>
      </c>
      <c r="D388" s="297" t="s">
        <v>2217</v>
      </c>
      <c r="E388" s="297" t="s">
        <v>1357</v>
      </c>
      <c r="F388" s="297" t="s">
        <v>3060</v>
      </c>
      <c r="G388" s="297"/>
      <c r="H388" s="297" t="s">
        <v>3414</v>
      </c>
      <c r="I388" s="297" t="s">
        <v>3075</v>
      </c>
      <c r="J388" s="45" t="str">
        <f t="shared" si="10"/>
        <v>TinMitsubishi Materials Corporation</v>
      </c>
      <c r="K388" s="45" t="str">
        <f t="shared" si="11"/>
        <v>TinMitsubishi Materials Corporation</v>
      </c>
      <c r="T388"/>
    </row>
    <row r="389" spans="1:20" ht="10.5" customHeight="1">
      <c r="A389" s="297" t="s">
        <v>2291</v>
      </c>
      <c r="B389" s="297" t="s">
        <v>4575</v>
      </c>
      <c r="C389" s="297" t="s">
        <v>4575</v>
      </c>
      <c r="D389" s="297" t="s">
        <v>2256</v>
      </c>
      <c r="E389" s="297" t="s">
        <v>4625</v>
      </c>
      <c r="F389" s="297" t="s">
        <v>3060</v>
      </c>
      <c r="G389" s="297"/>
      <c r="H389" s="297" t="s">
        <v>4629</v>
      </c>
      <c r="I389" s="297" t="s">
        <v>4630</v>
      </c>
      <c r="J389" s="45" t="str">
        <f t="shared" si="10"/>
        <v>TinModeltech Sdn Bhd</v>
      </c>
      <c r="K389" s="45" t="str">
        <f t="shared" si="11"/>
        <v>TinModeltech Sdn Bhd</v>
      </c>
      <c r="T389"/>
    </row>
    <row r="390" spans="1:20" ht="10.5" customHeight="1">
      <c r="A390" s="297" t="s">
        <v>2291</v>
      </c>
      <c r="B390" s="297" t="s">
        <v>4197</v>
      </c>
      <c r="C390" s="297" t="s">
        <v>1445</v>
      </c>
      <c r="D390" s="297" t="s">
        <v>2256</v>
      </c>
      <c r="E390" s="297" t="s">
        <v>1354</v>
      </c>
      <c r="F390" s="297" t="s">
        <v>3060</v>
      </c>
      <c r="G390" s="297"/>
      <c r="H390" s="297" t="s">
        <v>3405</v>
      </c>
      <c r="I390" s="297" t="s">
        <v>3406</v>
      </c>
      <c r="J390" s="45" t="str">
        <f t="shared" si="10"/>
        <v>TinMSC</v>
      </c>
      <c r="K390" s="45" t="str">
        <f t="shared" si="11"/>
        <v>TinMSC</v>
      </c>
      <c r="T390"/>
    </row>
    <row r="391" spans="1:20" ht="10.5" customHeight="1">
      <c r="A391" s="297" t="s">
        <v>2291</v>
      </c>
      <c r="B391" s="297" t="s">
        <v>4053</v>
      </c>
      <c r="C391" s="297" t="s">
        <v>4053</v>
      </c>
      <c r="D391" s="297" t="s">
        <v>2150</v>
      </c>
      <c r="E391" s="297" t="s">
        <v>3415</v>
      </c>
      <c r="F391" s="297" t="s">
        <v>3060</v>
      </c>
      <c r="G391" s="297"/>
      <c r="H391" s="297" t="s">
        <v>3398</v>
      </c>
      <c r="I391" s="297" t="s">
        <v>3139</v>
      </c>
      <c r="J391" s="45" t="str">
        <f t="shared" si="10"/>
        <v>TinNankang Nanshan Tin Manufactory Co., Ltd.</v>
      </c>
      <c r="K391" s="45" t="str">
        <f t="shared" si="11"/>
        <v>TinNankang Nanshan Tin Manufactory Co., Ltd.</v>
      </c>
      <c r="T391"/>
    </row>
    <row r="392" spans="1:20" ht="10.5" customHeight="1">
      <c r="A392" s="297" t="s">
        <v>2291</v>
      </c>
      <c r="B392" s="297" t="s">
        <v>3416</v>
      </c>
      <c r="C392" s="297" t="s">
        <v>4053</v>
      </c>
      <c r="D392" s="297" t="s">
        <v>2150</v>
      </c>
      <c r="E392" s="297" t="s">
        <v>3415</v>
      </c>
      <c r="F392" s="297" t="s">
        <v>3060</v>
      </c>
      <c r="G392" s="297"/>
      <c r="H392" s="297" t="s">
        <v>3398</v>
      </c>
      <c r="I392" s="297" t="s">
        <v>3139</v>
      </c>
      <c r="J392" s="45" t="str">
        <f t="shared" si="10"/>
        <v>TinNanshan Tin Co. Ltd.</v>
      </c>
      <c r="K392" s="45" t="str">
        <f t="shared" si="11"/>
        <v>TinNanshan Tin Co. Ltd.</v>
      </c>
      <c r="T392"/>
    </row>
    <row r="393" spans="1:20" ht="10.5" customHeight="1">
      <c r="A393" s="297" t="s">
        <v>2291</v>
      </c>
      <c r="B393" s="297" t="s">
        <v>3457</v>
      </c>
      <c r="C393" s="297" t="s">
        <v>3457</v>
      </c>
      <c r="D393" s="297" t="s">
        <v>1737</v>
      </c>
      <c r="E393" s="297" t="s">
        <v>3458</v>
      </c>
      <c r="F393" s="297" t="s">
        <v>3060</v>
      </c>
      <c r="G393" s="297"/>
      <c r="H393" s="297" t="s">
        <v>3459</v>
      </c>
      <c r="I393" s="297" t="s">
        <v>3460</v>
      </c>
      <c r="J393" s="45" t="str">
        <f t="shared" si="10"/>
        <v>TinNghe Tinh Non-Ferrous Metals Joint Stock Company</v>
      </c>
      <c r="K393" s="45" t="str">
        <f t="shared" si="11"/>
        <v>TinNghe Tinh Non-Ferrous Metals Joint Stock Company</v>
      </c>
      <c r="T393"/>
    </row>
    <row r="394" spans="1:20" ht="10.5" customHeight="1">
      <c r="A394" s="297" t="s">
        <v>2291</v>
      </c>
      <c r="B394" s="297" t="s">
        <v>1358</v>
      </c>
      <c r="C394" s="297" t="s">
        <v>1358</v>
      </c>
      <c r="D394" s="297" t="s">
        <v>1716</v>
      </c>
      <c r="E394" s="297" t="s">
        <v>1359</v>
      </c>
      <c r="F394" s="297" t="s">
        <v>3060</v>
      </c>
      <c r="G394" s="297"/>
      <c r="H394" s="297" t="s">
        <v>4616</v>
      </c>
      <c r="I394" s="297" t="s">
        <v>3417</v>
      </c>
      <c r="J394" s="45" t="str">
        <f t="shared" ref="J394:J457" si="12">A394&amp;B394</f>
        <v>TinO.M. Manufacturing (Thailand) Co., Ltd.</v>
      </c>
      <c r="K394" s="45" t="str">
        <f t="shared" ref="K394:K457" si="13">A394&amp;B394</f>
        <v>TinO.M. Manufacturing (Thailand) Co., Ltd.</v>
      </c>
      <c r="T394"/>
    </row>
    <row r="395" spans="1:20" ht="10.5" customHeight="1">
      <c r="A395" s="297" t="s">
        <v>2291</v>
      </c>
      <c r="B395" s="297" t="s">
        <v>2658</v>
      </c>
      <c r="C395" s="297" t="s">
        <v>2658</v>
      </c>
      <c r="D395" s="297" t="s">
        <v>1679</v>
      </c>
      <c r="E395" s="297" t="s">
        <v>2659</v>
      </c>
      <c r="F395" s="297" t="s">
        <v>3060</v>
      </c>
      <c r="G395" s="297"/>
      <c r="H395" s="297" t="s">
        <v>3449</v>
      </c>
      <c r="I395" s="297" t="s">
        <v>3450</v>
      </c>
      <c r="J395" s="45" t="str">
        <f t="shared" si="12"/>
        <v>TinO.M. Manufacturing Philippines, Inc.</v>
      </c>
      <c r="K395" s="45" t="str">
        <f t="shared" si="13"/>
        <v>TinO.M. Manufacturing Philippines, Inc.</v>
      </c>
      <c r="T395"/>
    </row>
    <row r="396" spans="1:20" ht="10.5" customHeight="1">
      <c r="A396" s="297" t="s">
        <v>2291</v>
      </c>
      <c r="B396" s="297" t="s">
        <v>4034</v>
      </c>
      <c r="C396" s="297" t="s">
        <v>3418</v>
      </c>
      <c r="D396" s="297" t="s">
        <v>4874</v>
      </c>
      <c r="E396" s="297" t="s">
        <v>1360</v>
      </c>
      <c r="F396" s="297" t="s">
        <v>3060</v>
      </c>
      <c r="G396" s="297"/>
      <c r="H396" s="297" t="s">
        <v>3390</v>
      </c>
      <c r="I396" s="297" t="s">
        <v>3391</v>
      </c>
      <c r="J396" s="45" t="str">
        <f t="shared" si="12"/>
        <v>TinOMSA</v>
      </c>
      <c r="K396" s="45" t="str">
        <f t="shared" si="13"/>
        <v>TinOMSA</v>
      </c>
      <c r="T396"/>
    </row>
    <row r="397" spans="1:20" ht="10.5" customHeight="1">
      <c r="A397" s="297" t="s">
        <v>2291</v>
      </c>
      <c r="B397" s="297" t="s">
        <v>3418</v>
      </c>
      <c r="C397" s="297" t="s">
        <v>3418</v>
      </c>
      <c r="D397" s="297" t="s">
        <v>4874</v>
      </c>
      <c r="E397" s="297" t="s">
        <v>1360</v>
      </c>
      <c r="F397" s="297" t="s">
        <v>3060</v>
      </c>
      <c r="G397" s="297"/>
      <c r="H397" s="297" t="s">
        <v>3390</v>
      </c>
      <c r="I397" s="297" t="s">
        <v>3391</v>
      </c>
      <c r="J397" s="45" t="str">
        <f t="shared" si="12"/>
        <v>TinOperaciones Metalurgical S.A.</v>
      </c>
      <c r="K397" s="45" t="str">
        <f t="shared" si="13"/>
        <v>TinOperaciones Metalurgical S.A.</v>
      </c>
      <c r="T397"/>
    </row>
    <row r="398" spans="1:20" ht="10.5" customHeight="1">
      <c r="A398" s="297" t="s">
        <v>2291</v>
      </c>
      <c r="B398" s="297" t="s">
        <v>3374</v>
      </c>
      <c r="C398" s="297" t="s">
        <v>4039</v>
      </c>
      <c r="D398" s="297" t="s">
        <v>2150</v>
      </c>
      <c r="E398" s="297" t="s">
        <v>1340</v>
      </c>
      <c r="F398" s="297" t="s">
        <v>3060</v>
      </c>
      <c r="G398" s="297"/>
      <c r="H398" s="297" t="s">
        <v>3372</v>
      </c>
      <c r="I398" s="297" t="s">
        <v>3373</v>
      </c>
      <c r="J398" s="45" t="str">
        <f t="shared" si="12"/>
        <v>TinPGMA</v>
      </c>
      <c r="K398" s="45" t="str">
        <f t="shared" si="13"/>
        <v>TinPGMA</v>
      </c>
      <c r="T398"/>
    </row>
    <row r="399" spans="1:20" ht="10.5" customHeight="1">
      <c r="A399" s="297" t="s">
        <v>2291</v>
      </c>
      <c r="B399" s="297" t="s">
        <v>3368</v>
      </c>
      <c r="C399" s="297" t="s">
        <v>3368</v>
      </c>
      <c r="D399" s="297" t="s">
        <v>1691</v>
      </c>
      <c r="E399" s="297" t="s">
        <v>2654</v>
      </c>
      <c r="F399" s="297" t="s">
        <v>3060</v>
      </c>
      <c r="G399" s="297"/>
      <c r="H399" s="297" t="s">
        <v>3369</v>
      </c>
      <c r="I399" s="297" t="s">
        <v>3370</v>
      </c>
      <c r="J399" s="45" t="str">
        <f t="shared" si="12"/>
        <v>TinPhoenix Metal Ltd.</v>
      </c>
      <c r="K399" s="45" t="str">
        <f t="shared" si="13"/>
        <v>TinPhoenix Metal Ltd.</v>
      </c>
      <c r="T399"/>
    </row>
    <row r="400" spans="1:20" ht="10.5" customHeight="1">
      <c r="A400" s="297" t="s">
        <v>2291</v>
      </c>
      <c r="B400" s="297" t="s">
        <v>4174</v>
      </c>
      <c r="C400" s="297" t="s">
        <v>4174</v>
      </c>
      <c r="D400" s="297" t="s">
        <v>2206</v>
      </c>
      <c r="E400" s="297" t="s">
        <v>2631</v>
      </c>
      <c r="F400" s="297" t="s">
        <v>3060</v>
      </c>
      <c r="G400" s="297"/>
      <c r="H400" s="297" t="s">
        <v>4909</v>
      </c>
      <c r="I400" s="297" t="s">
        <v>3385</v>
      </c>
      <c r="J400" s="45" t="str">
        <f t="shared" si="12"/>
        <v>TinPT Aries Kencana Sejahtera</v>
      </c>
      <c r="K400" s="45" t="str">
        <f t="shared" si="13"/>
        <v>TinPT Aries Kencana Sejahtera</v>
      </c>
      <c r="T400"/>
    </row>
    <row r="401" spans="1:20" ht="10.5" customHeight="1">
      <c r="A401" s="297" t="s">
        <v>2291</v>
      </c>
      <c r="B401" s="297" t="s">
        <v>1482</v>
      </c>
      <c r="C401" s="297" t="s">
        <v>1482</v>
      </c>
      <c r="D401" s="297" t="s">
        <v>2206</v>
      </c>
      <c r="E401" s="297" t="s">
        <v>1361</v>
      </c>
      <c r="F401" s="297" t="s">
        <v>3060</v>
      </c>
      <c r="G401" s="297"/>
      <c r="H401" s="297" t="s">
        <v>3384</v>
      </c>
      <c r="I401" s="297" t="s">
        <v>3385</v>
      </c>
      <c r="J401" s="45" t="str">
        <f t="shared" si="12"/>
        <v>TinPT Artha Cipta Langgeng</v>
      </c>
      <c r="K401" s="45" t="str">
        <f t="shared" si="13"/>
        <v>TinPT Artha Cipta Langgeng</v>
      </c>
      <c r="T401"/>
    </row>
    <row r="402" spans="1:20" ht="10.5" customHeight="1">
      <c r="A402" s="297" t="s">
        <v>2291</v>
      </c>
      <c r="B402" s="297" t="s">
        <v>2660</v>
      </c>
      <c r="C402" s="297" t="s">
        <v>2660</v>
      </c>
      <c r="D402" s="297" t="s">
        <v>2206</v>
      </c>
      <c r="E402" s="297" t="s">
        <v>2661</v>
      </c>
      <c r="F402" s="297" t="s">
        <v>3060</v>
      </c>
      <c r="G402" s="297"/>
      <c r="H402" s="297" t="s">
        <v>3384</v>
      </c>
      <c r="I402" s="297" t="s">
        <v>3385</v>
      </c>
      <c r="J402" s="45" t="str">
        <f t="shared" si="12"/>
        <v>TinPT ATD Makmur Mandiri Jaya</v>
      </c>
      <c r="K402" s="45" t="str">
        <f t="shared" si="13"/>
        <v>TinPT ATD Makmur Mandiri Jaya</v>
      </c>
      <c r="T402"/>
    </row>
    <row r="403" spans="1:20" ht="10.5" customHeight="1">
      <c r="A403" s="297" t="s">
        <v>2291</v>
      </c>
      <c r="B403" s="297" t="s">
        <v>1483</v>
      </c>
      <c r="C403" s="297" t="s">
        <v>1483</v>
      </c>
      <c r="D403" s="297" t="s">
        <v>2206</v>
      </c>
      <c r="E403" s="297" t="s">
        <v>1362</v>
      </c>
      <c r="F403" s="297" t="s">
        <v>3060</v>
      </c>
      <c r="G403" s="297"/>
      <c r="H403" s="297" t="s">
        <v>3419</v>
      </c>
      <c r="I403" s="297" t="s">
        <v>3385</v>
      </c>
      <c r="J403" s="45" t="str">
        <f t="shared" si="12"/>
        <v>TinPT Babel Inti Perkasa</v>
      </c>
      <c r="K403" s="45" t="str">
        <f t="shared" si="13"/>
        <v>TinPT Babel Inti Perkasa</v>
      </c>
      <c r="T403"/>
    </row>
    <row r="404" spans="1:20" ht="10.5" customHeight="1">
      <c r="A404" s="297" t="s">
        <v>2291</v>
      </c>
      <c r="B404" s="297" t="s">
        <v>4162</v>
      </c>
      <c r="C404" s="297" t="s">
        <v>4162</v>
      </c>
      <c r="D404" s="297" t="s">
        <v>2206</v>
      </c>
      <c r="E404" s="297" t="s">
        <v>4163</v>
      </c>
      <c r="F404" s="297" t="s">
        <v>3060</v>
      </c>
      <c r="G404" s="297"/>
      <c r="H404" s="297" t="s">
        <v>3386</v>
      </c>
      <c r="I404" s="297" t="s">
        <v>3385</v>
      </c>
      <c r="J404" s="45" t="str">
        <f t="shared" si="12"/>
        <v>TinPT Bangka Prima Tin</v>
      </c>
      <c r="K404" s="45" t="str">
        <f t="shared" si="13"/>
        <v>TinPT Bangka Prima Tin</v>
      </c>
      <c r="T404"/>
    </row>
    <row r="405" spans="1:20" ht="10.5" customHeight="1">
      <c r="A405" s="297" t="s">
        <v>2291</v>
      </c>
      <c r="B405" s="297" t="s">
        <v>1151</v>
      </c>
      <c r="C405" s="297" t="s">
        <v>1151</v>
      </c>
      <c r="D405" s="297" t="s">
        <v>2206</v>
      </c>
      <c r="E405" s="297" t="s">
        <v>1363</v>
      </c>
      <c r="F405" s="297" t="s">
        <v>3060</v>
      </c>
      <c r="G405" s="297"/>
      <c r="H405" s="297" t="s">
        <v>3384</v>
      </c>
      <c r="I405" s="297" t="s">
        <v>3385</v>
      </c>
      <c r="J405" s="45" t="str">
        <f t="shared" si="12"/>
        <v>TinPT Bangka Tin Industry</v>
      </c>
      <c r="K405" s="45" t="str">
        <f t="shared" si="13"/>
        <v>TinPT Bangka Tin Industry</v>
      </c>
      <c r="T405"/>
    </row>
    <row r="406" spans="1:20" ht="10.5" customHeight="1">
      <c r="A406" s="297" t="s">
        <v>2291</v>
      </c>
      <c r="B406" s="297" t="s">
        <v>1171</v>
      </c>
      <c r="C406" s="297" t="s">
        <v>1171</v>
      </c>
      <c r="D406" s="297" t="s">
        <v>2206</v>
      </c>
      <c r="E406" s="297" t="s">
        <v>1364</v>
      </c>
      <c r="F406" s="297" t="s">
        <v>3060</v>
      </c>
      <c r="G406" s="297"/>
      <c r="H406" s="297" t="s">
        <v>3388</v>
      </c>
      <c r="I406" s="297" t="s">
        <v>3385</v>
      </c>
      <c r="J406" s="45" t="str">
        <f t="shared" si="12"/>
        <v>TinPT Belitung Industri Sejahtera</v>
      </c>
      <c r="K406" s="45" t="str">
        <f t="shared" si="13"/>
        <v>TinPT Belitung Industri Sejahtera</v>
      </c>
      <c r="T406"/>
    </row>
    <row r="407" spans="1:20" ht="10.5" customHeight="1">
      <c r="A407" s="297" t="s">
        <v>2291</v>
      </c>
      <c r="B407" s="297" t="s">
        <v>1172</v>
      </c>
      <c r="C407" s="297" t="s">
        <v>1172</v>
      </c>
      <c r="D407" s="297" t="s">
        <v>2206</v>
      </c>
      <c r="E407" s="297" t="s">
        <v>1365</v>
      </c>
      <c r="F407" s="297" t="s">
        <v>3060</v>
      </c>
      <c r="G407" s="297"/>
      <c r="H407" s="297" t="s">
        <v>3388</v>
      </c>
      <c r="I407" s="297" t="s">
        <v>3385</v>
      </c>
      <c r="J407" s="45" t="str">
        <f t="shared" si="12"/>
        <v>TinPT Bukit Timah</v>
      </c>
      <c r="K407" s="45" t="str">
        <f t="shared" si="13"/>
        <v>TinPT Bukit Timah</v>
      </c>
      <c r="T407"/>
    </row>
    <row r="408" spans="1:20" ht="10.5" customHeight="1">
      <c r="A408" s="297" t="s">
        <v>2291</v>
      </c>
      <c r="B408" s="297" t="s">
        <v>3465</v>
      </c>
      <c r="C408" s="297" t="s">
        <v>3465</v>
      </c>
      <c r="D408" s="297" t="s">
        <v>2206</v>
      </c>
      <c r="E408" s="297" t="s">
        <v>3466</v>
      </c>
      <c r="F408" s="297" t="s">
        <v>3060</v>
      </c>
      <c r="G408" s="297"/>
      <c r="H408" s="297" t="s">
        <v>3388</v>
      </c>
      <c r="I408" s="297" t="s">
        <v>3385</v>
      </c>
      <c r="J408" s="45" t="str">
        <f t="shared" si="12"/>
        <v>TinPT Cipta Persada Mulia</v>
      </c>
      <c r="K408" s="45" t="str">
        <f t="shared" si="13"/>
        <v>TinPT Cipta Persada Mulia</v>
      </c>
      <c r="T408"/>
    </row>
    <row r="409" spans="1:20" ht="10.5" customHeight="1">
      <c r="A409" s="297" t="s">
        <v>2291</v>
      </c>
      <c r="B409" s="297" t="s">
        <v>1152</v>
      </c>
      <c r="C409" s="297" t="s">
        <v>1152</v>
      </c>
      <c r="D409" s="297" t="s">
        <v>2206</v>
      </c>
      <c r="E409" s="297" t="s">
        <v>1366</v>
      </c>
      <c r="F409" s="297" t="s">
        <v>3060</v>
      </c>
      <c r="G409" s="297"/>
      <c r="H409" s="297" t="s">
        <v>3388</v>
      </c>
      <c r="I409" s="297" t="s">
        <v>3385</v>
      </c>
      <c r="J409" s="45" t="str">
        <f t="shared" si="12"/>
        <v>TinPT DS Jaya Abadi</v>
      </c>
      <c r="K409" s="45" t="str">
        <f t="shared" si="13"/>
        <v>TinPT DS Jaya Abadi</v>
      </c>
      <c r="T409"/>
    </row>
    <row r="410" spans="1:20" ht="10.5" customHeight="1">
      <c r="A410" s="297" t="s">
        <v>2291</v>
      </c>
      <c r="B410" s="297" t="s">
        <v>1173</v>
      </c>
      <c r="C410" s="297" t="s">
        <v>1173</v>
      </c>
      <c r="D410" s="297" t="s">
        <v>2206</v>
      </c>
      <c r="E410" s="297" t="s">
        <v>1367</v>
      </c>
      <c r="F410" s="297" t="s">
        <v>3060</v>
      </c>
      <c r="G410" s="297"/>
      <c r="H410" s="297" t="s">
        <v>3422</v>
      </c>
      <c r="I410" s="297" t="s">
        <v>3421</v>
      </c>
      <c r="J410" s="45" t="str">
        <f t="shared" si="12"/>
        <v>TinPT Eunindo Usaha Mandiri</v>
      </c>
      <c r="K410" s="45" t="str">
        <f t="shared" si="13"/>
        <v>TinPT Eunindo Usaha Mandiri</v>
      </c>
      <c r="T410"/>
    </row>
    <row r="411" spans="1:20" ht="10.5" customHeight="1">
      <c r="A411" s="297" t="s">
        <v>2291</v>
      </c>
      <c r="B411" s="297" t="s">
        <v>58</v>
      </c>
      <c r="C411" s="297" t="s">
        <v>1172</v>
      </c>
      <c r="D411" s="297" t="s">
        <v>2206</v>
      </c>
      <c r="E411" s="297" t="s">
        <v>1365</v>
      </c>
      <c r="F411" s="297" t="s">
        <v>3060</v>
      </c>
      <c r="G411" s="297"/>
      <c r="H411" s="297" t="s">
        <v>3388</v>
      </c>
      <c r="I411" s="297" t="s">
        <v>3385</v>
      </c>
      <c r="J411" s="45" t="str">
        <f t="shared" si="12"/>
        <v>TinPT Indora Ermulti</v>
      </c>
      <c r="K411" s="45" t="str">
        <f t="shared" si="13"/>
        <v>TinPT Indora Ermulti</v>
      </c>
      <c r="T411"/>
    </row>
    <row r="412" spans="1:20" ht="10.5" customHeight="1">
      <c r="A412" s="297" t="s">
        <v>2291</v>
      </c>
      <c r="B412" s="297" t="s">
        <v>3420</v>
      </c>
      <c r="C412" s="297" t="s">
        <v>1172</v>
      </c>
      <c r="D412" s="297" t="s">
        <v>2206</v>
      </c>
      <c r="E412" s="297" t="s">
        <v>1365</v>
      </c>
      <c r="F412" s="297" t="s">
        <v>3060</v>
      </c>
      <c r="G412" s="297"/>
      <c r="H412" s="297" t="s">
        <v>3388</v>
      </c>
      <c r="I412" s="297" t="s">
        <v>3385</v>
      </c>
      <c r="J412" s="45" t="str">
        <f t="shared" si="12"/>
        <v>TinPT Indra Eramult Logam Industri</v>
      </c>
      <c r="K412" s="45" t="str">
        <f t="shared" si="13"/>
        <v>TinPT Indra Eramult Logam Industri</v>
      </c>
      <c r="T412"/>
    </row>
    <row r="413" spans="1:20" ht="10.5" customHeight="1">
      <c r="A413" s="297" t="s">
        <v>2291</v>
      </c>
      <c r="B413" s="297" t="s">
        <v>2662</v>
      </c>
      <c r="C413" s="297" t="s">
        <v>2662</v>
      </c>
      <c r="D413" s="297" t="s">
        <v>2206</v>
      </c>
      <c r="E413" s="297" t="s">
        <v>2663</v>
      </c>
      <c r="F413" s="297" t="s">
        <v>3060</v>
      </c>
      <c r="G413" s="297"/>
      <c r="H413" s="297" t="s">
        <v>3384</v>
      </c>
      <c r="I413" s="297" t="s">
        <v>3385</v>
      </c>
      <c r="J413" s="45" t="str">
        <f t="shared" si="12"/>
        <v>TinPT Inti Stania Prima</v>
      </c>
      <c r="K413" s="45" t="str">
        <f t="shared" si="13"/>
        <v>TinPT Inti Stania Prima</v>
      </c>
      <c r="T413"/>
    </row>
    <row r="414" spans="1:20" ht="10.5" customHeight="1">
      <c r="A414" s="297" t="s">
        <v>2291</v>
      </c>
      <c r="B414" s="297" t="s">
        <v>4137</v>
      </c>
      <c r="C414" s="297" t="s">
        <v>4137</v>
      </c>
      <c r="D414" s="297" t="s">
        <v>2206</v>
      </c>
      <c r="E414" s="297" t="s">
        <v>2630</v>
      </c>
      <c r="F414" s="297" t="s">
        <v>3060</v>
      </c>
      <c r="G414" s="297"/>
      <c r="H414" s="297" t="s">
        <v>3386</v>
      </c>
      <c r="I414" s="297" t="s">
        <v>3385</v>
      </c>
      <c r="J414" s="45" t="str">
        <f t="shared" si="12"/>
        <v>TinPT Justindo</v>
      </c>
      <c r="K414" s="45" t="str">
        <f t="shared" si="13"/>
        <v>TinPT Justindo</v>
      </c>
      <c r="T414"/>
    </row>
    <row r="415" spans="1:20" ht="10.5" customHeight="1">
      <c r="A415" s="297" t="s">
        <v>2291</v>
      </c>
      <c r="B415" s="297" t="s">
        <v>1153</v>
      </c>
      <c r="C415" s="297" t="s">
        <v>1153</v>
      </c>
      <c r="D415" s="297" t="s">
        <v>2206</v>
      </c>
      <c r="E415" s="297" t="s">
        <v>1368</v>
      </c>
      <c r="F415" s="297" t="s">
        <v>3060</v>
      </c>
      <c r="G415" s="297"/>
      <c r="H415" s="297" t="s">
        <v>3422</v>
      </c>
      <c r="I415" s="297" t="s">
        <v>3421</v>
      </c>
      <c r="J415" s="45" t="str">
        <f t="shared" si="12"/>
        <v>TinPT Karimun Mining</v>
      </c>
      <c r="K415" s="45" t="str">
        <f t="shared" si="13"/>
        <v>TinPT Karimun Mining</v>
      </c>
      <c r="T415"/>
    </row>
    <row r="416" spans="1:20" ht="10.5" customHeight="1">
      <c r="A416" s="297" t="s">
        <v>2291</v>
      </c>
      <c r="B416" s="297" t="s">
        <v>4246</v>
      </c>
      <c r="C416" s="297" t="s">
        <v>4246</v>
      </c>
      <c r="D416" s="297" t="s">
        <v>2206</v>
      </c>
      <c r="E416" s="297" t="s">
        <v>4247</v>
      </c>
      <c r="F416" s="297" t="s">
        <v>3060</v>
      </c>
      <c r="G416" s="297"/>
      <c r="H416" s="297" t="s">
        <v>3384</v>
      </c>
      <c r="I416" s="297" t="s">
        <v>3385</v>
      </c>
      <c r="J416" s="45" t="str">
        <f t="shared" si="12"/>
        <v>TinPT Kijang Jaya Mandiri</v>
      </c>
      <c r="K416" s="45" t="str">
        <f t="shared" si="13"/>
        <v>TinPT Kijang Jaya Mandiri</v>
      </c>
      <c r="T416"/>
    </row>
    <row r="417" spans="1:20" ht="10.5" customHeight="1">
      <c r="A417" s="297" t="s">
        <v>2291</v>
      </c>
      <c r="B417" s="297" t="s">
        <v>4911</v>
      </c>
      <c r="C417" s="297" t="s">
        <v>4911</v>
      </c>
      <c r="D417" s="297" t="s">
        <v>2206</v>
      </c>
      <c r="E417" s="297" t="s">
        <v>4912</v>
      </c>
      <c r="F417" s="297" t="s">
        <v>3060</v>
      </c>
      <c r="G417" s="297"/>
      <c r="H417" s="297" t="s">
        <v>4921</v>
      </c>
      <c r="I417" s="297" t="s">
        <v>3385</v>
      </c>
      <c r="J417" s="45" t="str">
        <f t="shared" si="12"/>
        <v>TinPT Lautan Harmonis Sejahtera</v>
      </c>
      <c r="K417" s="45" t="str">
        <f t="shared" si="13"/>
        <v>TinPT Lautan Harmonis Sejahtera</v>
      </c>
      <c r="T417"/>
    </row>
    <row r="418" spans="1:20" ht="10.5" customHeight="1">
      <c r="A418" s="297" t="s">
        <v>2291</v>
      </c>
      <c r="B418" s="297" t="s">
        <v>4913</v>
      </c>
      <c r="C418" s="297" t="s">
        <v>4913</v>
      </c>
      <c r="D418" s="297" t="s">
        <v>2206</v>
      </c>
      <c r="E418" s="297" t="s">
        <v>4914</v>
      </c>
      <c r="F418" s="297" t="s">
        <v>3060</v>
      </c>
      <c r="G418" s="297"/>
      <c r="H418" s="297" t="s">
        <v>4922</v>
      </c>
      <c r="I418" s="297" t="s">
        <v>3385</v>
      </c>
      <c r="J418" s="45" t="str">
        <f t="shared" si="12"/>
        <v>TinPT Menara Cipta Mulia</v>
      </c>
      <c r="K418" s="45" t="str">
        <f t="shared" si="13"/>
        <v>TinPT Menara Cipta Mulia</v>
      </c>
      <c r="T418"/>
    </row>
    <row r="419" spans="1:20" ht="10.5" customHeight="1">
      <c r="A419" s="297" t="s">
        <v>2291</v>
      </c>
      <c r="B419" s="297" t="s">
        <v>1174</v>
      </c>
      <c r="C419" s="297" t="s">
        <v>1174</v>
      </c>
      <c r="D419" s="297" t="s">
        <v>2206</v>
      </c>
      <c r="E419" s="297" t="s">
        <v>1369</v>
      </c>
      <c r="F419" s="297" t="s">
        <v>3060</v>
      </c>
      <c r="G419" s="297"/>
      <c r="H419" s="297" t="s">
        <v>3384</v>
      </c>
      <c r="I419" s="297" t="s">
        <v>3385</v>
      </c>
      <c r="J419" s="45" t="str">
        <f t="shared" si="12"/>
        <v>TinPT Mitra Stania Prima</v>
      </c>
      <c r="K419" s="45" t="str">
        <f t="shared" si="13"/>
        <v>TinPT Mitra Stania Prima</v>
      </c>
      <c r="T419"/>
    </row>
    <row r="420" spans="1:20" s="226" customFormat="1" ht="10.15" customHeight="1">
      <c r="A420" s="297" t="s">
        <v>2291</v>
      </c>
      <c r="B420" s="297" t="s">
        <v>4618</v>
      </c>
      <c r="C420" s="297" t="s">
        <v>4618</v>
      </c>
      <c r="D420" s="297" t="s">
        <v>2206</v>
      </c>
      <c r="E420" s="297" t="s">
        <v>4619</v>
      </c>
      <c r="F420" s="297" t="s">
        <v>3060</v>
      </c>
      <c r="G420" s="297"/>
      <c r="H420" s="297" t="s">
        <v>4636</v>
      </c>
      <c r="I420" s="297" t="s">
        <v>3424</v>
      </c>
      <c r="J420" s="45" t="str">
        <f t="shared" si="12"/>
        <v>TinPT O.M. Indonesia</v>
      </c>
      <c r="K420" s="45" t="str">
        <f t="shared" si="13"/>
        <v>TinPT O.M. Indonesia</v>
      </c>
      <c r="N420" s="45"/>
      <c r="T420"/>
    </row>
    <row r="421" spans="1:20" ht="10.5" customHeight="1">
      <c r="A421" s="297" t="s">
        <v>2291</v>
      </c>
      <c r="B421" s="297" t="s">
        <v>2632</v>
      </c>
      <c r="C421" s="297" t="s">
        <v>2632</v>
      </c>
      <c r="D421" s="297" t="s">
        <v>2206</v>
      </c>
      <c r="E421" s="297" t="s">
        <v>2633</v>
      </c>
      <c r="F421" s="297" t="s">
        <v>3060</v>
      </c>
      <c r="G421" s="297"/>
      <c r="H421" s="297" t="s">
        <v>3384</v>
      </c>
      <c r="I421" s="297" t="s">
        <v>3385</v>
      </c>
      <c r="J421" s="45" t="str">
        <f t="shared" si="12"/>
        <v>TinPT Panca Mega Persada</v>
      </c>
      <c r="K421" s="45" t="str">
        <f t="shared" si="13"/>
        <v>TinPT Panca Mega Persada</v>
      </c>
      <c r="T421"/>
    </row>
    <row r="422" spans="1:20" ht="10.5" customHeight="1">
      <c r="A422" s="297" t="s">
        <v>2291</v>
      </c>
      <c r="B422" s="297" t="s">
        <v>1370</v>
      </c>
      <c r="C422" s="297" t="s">
        <v>1370</v>
      </c>
      <c r="D422" s="297" t="s">
        <v>2206</v>
      </c>
      <c r="E422" s="297" t="s">
        <v>1371</v>
      </c>
      <c r="F422" s="297" t="s">
        <v>3060</v>
      </c>
      <c r="G422" s="297"/>
      <c r="H422" s="297" t="s">
        <v>3388</v>
      </c>
      <c r="I422" s="297" t="s">
        <v>3385</v>
      </c>
      <c r="J422" s="45" t="str">
        <f t="shared" si="12"/>
        <v>TinPT Prima Timah Utama</v>
      </c>
      <c r="K422" s="45" t="str">
        <f t="shared" si="13"/>
        <v>TinPT Prima Timah Utama</v>
      </c>
      <c r="T422"/>
    </row>
    <row r="423" spans="1:20" ht="10.5" customHeight="1">
      <c r="A423" s="297" t="s">
        <v>2291</v>
      </c>
      <c r="B423" s="297" t="s">
        <v>4057</v>
      </c>
      <c r="C423" s="297" t="s">
        <v>4057</v>
      </c>
      <c r="D423" s="297" t="s">
        <v>2206</v>
      </c>
      <c r="E423" s="297" t="s">
        <v>1372</v>
      </c>
      <c r="F423" s="297" t="s">
        <v>3060</v>
      </c>
      <c r="G423" s="297"/>
      <c r="H423" s="297" t="s">
        <v>3384</v>
      </c>
      <c r="I423" s="297" t="s">
        <v>3385</v>
      </c>
      <c r="J423" s="45" t="str">
        <f t="shared" si="12"/>
        <v>TinPT Refined Bangka Tin</v>
      </c>
      <c r="K423" s="45" t="str">
        <f t="shared" si="13"/>
        <v>TinPT Refined Bangka Tin</v>
      </c>
      <c r="T423"/>
    </row>
    <row r="424" spans="1:20" ht="10.5" customHeight="1">
      <c r="A424" s="297" t="s">
        <v>2291</v>
      </c>
      <c r="B424" s="297" t="s">
        <v>1175</v>
      </c>
      <c r="C424" s="297" t="s">
        <v>1175</v>
      </c>
      <c r="D424" s="297" t="s">
        <v>2206</v>
      </c>
      <c r="E424" s="297" t="s">
        <v>1373</v>
      </c>
      <c r="F424" s="297" t="s">
        <v>3060</v>
      </c>
      <c r="G424" s="297"/>
      <c r="H424" s="297" t="s">
        <v>3388</v>
      </c>
      <c r="I424" s="297" t="s">
        <v>3385</v>
      </c>
      <c r="J424" s="45" t="str">
        <f t="shared" si="12"/>
        <v>TinPT Sariwiguna Binasentosa</v>
      </c>
      <c r="K424" s="45" t="str">
        <f t="shared" si="13"/>
        <v>TinPT Sariwiguna Binasentosa</v>
      </c>
      <c r="T424"/>
    </row>
    <row r="425" spans="1:20" ht="10.5" customHeight="1">
      <c r="A425" s="297" t="s">
        <v>2291</v>
      </c>
      <c r="B425" s="297" t="s">
        <v>2336</v>
      </c>
      <c r="C425" s="297" t="s">
        <v>2336</v>
      </c>
      <c r="D425" s="297" t="s">
        <v>2206</v>
      </c>
      <c r="E425" s="297" t="s">
        <v>1374</v>
      </c>
      <c r="F425" s="297" t="s">
        <v>3060</v>
      </c>
      <c r="G425" s="297"/>
      <c r="H425" s="297" t="s">
        <v>3388</v>
      </c>
      <c r="I425" s="297" t="s">
        <v>3385</v>
      </c>
      <c r="J425" s="45" t="str">
        <f t="shared" si="12"/>
        <v>TinPT Stanindo Inti Perkasa</v>
      </c>
      <c r="K425" s="45" t="str">
        <f t="shared" si="13"/>
        <v>TinPT Stanindo Inti Perkasa</v>
      </c>
      <c r="T425"/>
    </row>
    <row r="426" spans="1:20" ht="10.5" customHeight="1">
      <c r="A426" s="297" t="s">
        <v>2291</v>
      </c>
      <c r="B426" s="297" t="s">
        <v>4204</v>
      </c>
      <c r="C426" s="297" t="s">
        <v>4204</v>
      </c>
      <c r="D426" s="297" t="s">
        <v>2206</v>
      </c>
      <c r="E426" s="297" t="s">
        <v>4205</v>
      </c>
      <c r="F426" s="297" t="s">
        <v>3060</v>
      </c>
      <c r="G426" s="297"/>
      <c r="H426" s="297" t="s">
        <v>3386</v>
      </c>
      <c r="I426" s="297" t="s">
        <v>3385</v>
      </c>
      <c r="J426" s="45" t="str">
        <f t="shared" si="12"/>
        <v>TinPT Sukses Inti Makmur</v>
      </c>
      <c r="K426" s="45" t="str">
        <f t="shared" si="13"/>
        <v>TinPT Sukses Inti Makmur</v>
      </c>
      <c r="T426"/>
    </row>
    <row r="427" spans="1:20" ht="10.5" customHeight="1">
      <c r="A427" s="297" t="s">
        <v>2291</v>
      </c>
      <c r="B427" s="297" t="s">
        <v>2634</v>
      </c>
      <c r="C427" s="297" t="s">
        <v>2634</v>
      </c>
      <c r="D427" s="297" t="s">
        <v>2206</v>
      </c>
      <c r="E427" s="297" t="s">
        <v>2635</v>
      </c>
      <c r="F427" s="297" t="s">
        <v>3060</v>
      </c>
      <c r="G427" s="297"/>
      <c r="H427" s="297" t="s">
        <v>3388</v>
      </c>
      <c r="I427" s="297" t="s">
        <v>3385</v>
      </c>
      <c r="J427" s="45" t="str">
        <f t="shared" si="12"/>
        <v>TinPT Sumber Jaya Indah</v>
      </c>
      <c r="K427" s="45" t="str">
        <f t="shared" si="13"/>
        <v>TinPT Sumber Jaya Indah</v>
      </c>
      <c r="T427"/>
    </row>
    <row r="428" spans="1:20" ht="10.5" customHeight="1">
      <c r="A428" s="297" t="s">
        <v>2291</v>
      </c>
      <c r="B428" s="297" t="s">
        <v>1923</v>
      </c>
      <c r="C428" s="297" t="s">
        <v>3425</v>
      </c>
      <c r="D428" s="297" t="s">
        <v>2206</v>
      </c>
      <c r="E428" s="297" t="s">
        <v>1399</v>
      </c>
      <c r="F428" s="297" t="s">
        <v>3060</v>
      </c>
      <c r="G428" s="297"/>
      <c r="H428" s="297" t="s">
        <v>3426</v>
      </c>
      <c r="I428" s="297" t="s">
        <v>3427</v>
      </c>
      <c r="J428" s="45" t="str">
        <f t="shared" si="12"/>
        <v>TinPT Tambang Timah</v>
      </c>
      <c r="K428" s="45" t="str">
        <f t="shared" si="13"/>
        <v>TinPT Tambang Timah</v>
      </c>
      <c r="T428"/>
    </row>
    <row r="429" spans="1:20" ht="10.5" customHeight="1">
      <c r="A429" s="297" t="s">
        <v>2291</v>
      </c>
      <c r="B429" s="297" t="s">
        <v>3425</v>
      </c>
      <c r="C429" s="297" t="s">
        <v>3425</v>
      </c>
      <c r="D429" s="297" t="s">
        <v>2206</v>
      </c>
      <c r="E429" s="297" t="s">
        <v>1399</v>
      </c>
      <c r="F429" s="297" t="s">
        <v>3060</v>
      </c>
      <c r="G429" s="297"/>
      <c r="H429" s="297" t="s">
        <v>3426</v>
      </c>
      <c r="I429" s="297" t="s">
        <v>3427</v>
      </c>
      <c r="J429" s="45" t="str">
        <f t="shared" si="12"/>
        <v>TinPT Timah (Persero) Tbk Kundur</v>
      </c>
      <c r="K429" s="45" t="str">
        <f t="shared" si="13"/>
        <v>TinPT Timah (Persero) Tbk Kundur</v>
      </c>
      <c r="T429"/>
    </row>
    <row r="430" spans="1:20" ht="10.5" customHeight="1">
      <c r="A430" s="297" t="s">
        <v>2291</v>
      </c>
      <c r="B430" s="297" t="s">
        <v>4151</v>
      </c>
      <c r="C430" s="297" t="s">
        <v>4151</v>
      </c>
      <c r="D430" s="297" t="s">
        <v>2206</v>
      </c>
      <c r="E430" s="297" t="s">
        <v>1375</v>
      </c>
      <c r="F430" s="297" t="s">
        <v>3060</v>
      </c>
      <c r="G430" s="297"/>
      <c r="H430" s="297" t="s">
        <v>3429</v>
      </c>
      <c r="I430" s="297" t="s">
        <v>3385</v>
      </c>
      <c r="J430" s="45" t="str">
        <f t="shared" si="12"/>
        <v>TinPT Timah (Persero) Tbk Mentok</v>
      </c>
      <c r="K430" s="45" t="str">
        <f t="shared" si="13"/>
        <v>TinPT Timah (Persero) Tbk Mentok</v>
      </c>
      <c r="T430"/>
    </row>
    <row r="431" spans="1:20" ht="10.5" customHeight="1">
      <c r="A431" s="297" t="s">
        <v>2291</v>
      </c>
      <c r="B431" s="297" t="s">
        <v>952</v>
      </c>
      <c r="C431" s="297" t="s">
        <v>952</v>
      </c>
      <c r="D431" s="297" t="s">
        <v>2206</v>
      </c>
      <c r="E431" s="297" t="s">
        <v>1376</v>
      </c>
      <c r="F431" s="297" t="s">
        <v>3060</v>
      </c>
      <c r="G431" s="297"/>
      <c r="H431" s="297" t="s">
        <v>3388</v>
      </c>
      <c r="I431" s="297" t="s">
        <v>3385</v>
      </c>
      <c r="J431" s="45" t="str">
        <f t="shared" si="12"/>
        <v>TinPT Tinindo Inter Nusa</v>
      </c>
      <c r="K431" s="45" t="str">
        <f t="shared" si="13"/>
        <v>TinPT Tinindo Inter Nusa</v>
      </c>
      <c r="T431"/>
    </row>
    <row r="432" spans="1:20" ht="10.5" customHeight="1">
      <c r="A432" s="297" t="s">
        <v>2291</v>
      </c>
      <c r="B432" s="297" t="s">
        <v>2664</v>
      </c>
      <c r="C432" s="297" t="s">
        <v>2664</v>
      </c>
      <c r="D432" s="297" t="s">
        <v>2206</v>
      </c>
      <c r="E432" s="297" t="s">
        <v>2665</v>
      </c>
      <c r="F432" s="297" t="s">
        <v>3060</v>
      </c>
      <c r="G432" s="297"/>
      <c r="H432" s="297" t="s">
        <v>3446</v>
      </c>
      <c r="I432" s="297" t="s">
        <v>3424</v>
      </c>
      <c r="J432" s="45" t="str">
        <f t="shared" si="12"/>
        <v>TinPT Tirus Putra Mandiri</v>
      </c>
      <c r="K432" s="45" t="str">
        <f t="shared" si="13"/>
        <v>TinPT Tirus Putra Mandiri</v>
      </c>
      <c r="T432"/>
    </row>
    <row r="433" spans="1:20" ht="10.5" customHeight="1">
      <c r="A433" s="297" t="s">
        <v>2291</v>
      </c>
      <c r="B433" s="297" t="s">
        <v>4213</v>
      </c>
      <c r="C433" s="297" t="s">
        <v>4213</v>
      </c>
      <c r="D433" s="297" t="s">
        <v>2206</v>
      </c>
      <c r="E433" s="297" t="s">
        <v>4214</v>
      </c>
      <c r="F433" s="297" t="s">
        <v>3060</v>
      </c>
      <c r="G433" s="297"/>
      <c r="H433" s="297" t="s">
        <v>4638</v>
      </c>
      <c r="I433" s="297" t="s">
        <v>4637</v>
      </c>
      <c r="J433" s="45" t="str">
        <f t="shared" si="12"/>
        <v>TinPT Tommy Utama</v>
      </c>
      <c r="K433" s="45" t="str">
        <f t="shared" si="13"/>
        <v>TinPT Tommy Utama</v>
      </c>
      <c r="T433"/>
    </row>
    <row r="434" spans="1:20" ht="10.5" customHeight="1">
      <c r="A434" s="297" t="s">
        <v>2291</v>
      </c>
      <c r="B434" s="297" t="s">
        <v>4072</v>
      </c>
      <c r="C434" s="297" t="s">
        <v>4072</v>
      </c>
      <c r="D434" s="297" t="s">
        <v>2206</v>
      </c>
      <c r="E434" s="297" t="s">
        <v>2666</v>
      </c>
      <c r="F434" s="297" t="s">
        <v>3060</v>
      </c>
      <c r="G434" s="297"/>
      <c r="H434" s="297" t="s">
        <v>3447</v>
      </c>
      <c r="I434" s="297" t="s">
        <v>3448</v>
      </c>
      <c r="J434" s="45" t="str">
        <f t="shared" si="12"/>
        <v>TinPT Wahana Perkit Jaya</v>
      </c>
      <c r="K434" s="45" t="str">
        <f t="shared" si="13"/>
        <v>TinPT Wahana Perkit Jaya</v>
      </c>
      <c r="T434"/>
    </row>
    <row r="435" spans="1:20" ht="10.5" customHeight="1">
      <c r="A435" s="297" t="s">
        <v>2291</v>
      </c>
      <c r="B435" s="297" t="s">
        <v>4179</v>
      </c>
      <c r="C435" s="297" t="s">
        <v>4179</v>
      </c>
      <c r="D435" s="297" t="s">
        <v>2139</v>
      </c>
      <c r="E435" s="297" t="s">
        <v>3467</v>
      </c>
      <c r="F435" s="297" t="s">
        <v>3060</v>
      </c>
      <c r="G435" s="297"/>
      <c r="H435" s="297" t="s">
        <v>3312</v>
      </c>
      <c r="I435" s="297" t="s">
        <v>3367</v>
      </c>
      <c r="J435" s="45" t="str">
        <f t="shared" si="12"/>
        <v>TinResind Indústria e Comércio Ltda.</v>
      </c>
      <c r="K435" s="45" t="str">
        <f t="shared" si="13"/>
        <v>TinResind Indústria e Comércio Ltda.</v>
      </c>
      <c r="T435"/>
    </row>
    <row r="436" spans="1:20" ht="10.5" customHeight="1">
      <c r="A436" s="297" t="s">
        <v>2291</v>
      </c>
      <c r="B436" s="297" t="s">
        <v>1377</v>
      </c>
      <c r="C436" s="297" t="s">
        <v>1377</v>
      </c>
      <c r="D436" s="297" t="s">
        <v>4878</v>
      </c>
      <c r="E436" s="297" t="s">
        <v>1378</v>
      </c>
      <c r="F436" s="297" t="s">
        <v>3060</v>
      </c>
      <c r="G436" s="297"/>
      <c r="H436" s="297" t="s">
        <v>3430</v>
      </c>
      <c r="I436" s="297" t="s">
        <v>3231</v>
      </c>
      <c r="J436" s="45" t="str">
        <f t="shared" si="12"/>
        <v>TinRui Da Hung</v>
      </c>
      <c r="K436" s="45" t="str">
        <f t="shared" si="13"/>
        <v>TinRui Da Hung</v>
      </c>
      <c r="T436"/>
    </row>
    <row r="437" spans="1:20" ht="9.6" customHeight="1">
      <c r="A437" s="297" t="s">
        <v>2291</v>
      </c>
      <c r="B437" s="297" t="s">
        <v>4614</v>
      </c>
      <c r="C437" s="297" t="s">
        <v>4043</v>
      </c>
      <c r="D437" s="297" t="s">
        <v>2150</v>
      </c>
      <c r="E437" s="297" t="s">
        <v>1351</v>
      </c>
      <c r="F437" s="297" t="s">
        <v>3060</v>
      </c>
      <c r="G437" s="297"/>
      <c r="H437" s="297" t="s">
        <v>3398</v>
      </c>
      <c r="I437" s="297" t="s">
        <v>3139</v>
      </c>
      <c r="J437" s="45" t="str">
        <f t="shared" si="12"/>
        <v>TinShunda Huichang Kam Tin Co., Ltd.</v>
      </c>
      <c r="K437" s="45" t="str">
        <f t="shared" si="13"/>
        <v>TinShunda Huichang Kam Tin Co., Ltd.</v>
      </c>
      <c r="T437"/>
    </row>
    <row r="438" spans="1:20" ht="10.5" customHeight="1">
      <c r="A438" s="297" t="s">
        <v>2291</v>
      </c>
      <c r="B438" s="297" t="s">
        <v>4198</v>
      </c>
      <c r="C438" s="297" t="s">
        <v>4621</v>
      </c>
      <c r="D438" s="297" t="s">
        <v>2150</v>
      </c>
      <c r="E438" s="297" t="s">
        <v>1383</v>
      </c>
      <c r="F438" s="297" t="s">
        <v>3060</v>
      </c>
      <c r="G438" s="297"/>
      <c r="H438" s="297" t="s">
        <v>4910</v>
      </c>
      <c r="I438" s="297" t="s">
        <v>3096</v>
      </c>
      <c r="J438" s="45" t="str">
        <f t="shared" si="12"/>
        <v>TinSmelting Branch of Yunnan Tin Company Ltd</v>
      </c>
      <c r="K438" s="45" t="str">
        <f t="shared" si="13"/>
        <v>TinSmelting Branch of Yunnan Tin Company Ltd</v>
      </c>
      <c r="T438"/>
    </row>
    <row r="439" spans="1:20" ht="10.5" customHeight="1">
      <c r="A439" s="297" t="s">
        <v>2291</v>
      </c>
      <c r="B439" s="297" t="s">
        <v>4062</v>
      </c>
      <c r="C439" s="297" t="s">
        <v>4062</v>
      </c>
      <c r="D439" s="297" t="s">
        <v>2139</v>
      </c>
      <c r="E439" s="297" t="s">
        <v>1379</v>
      </c>
      <c r="F439" s="297" t="s">
        <v>3060</v>
      </c>
      <c r="G439" s="297"/>
      <c r="H439" s="297" t="s">
        <v>3431</v>
      </c>
      <c r="I439" s="297" t="s">
        <v>3248</v>
      </c>
      <c r="J439" s="45" t="str">
        <f t="shared" si="12"/>
        <v>TinSoft Metais Ltda.</v>
      </c>
      <c r="K439" s="45" t="str">
        <f t="shared" si="13"/>
        <v>TinSoft Metais Ltda.</v>
      </c>
      <c r="T439"/>
    </row>
    <row r="440" spans="1:20" ht="10.5" customHeight="1">
      <c r="A440" s="297" t="s">
        <v>2291</v>
      </c>
      <c r="B440" s="297" t="s">
        <v>59</v>
      </c>
      <c r="C440" s="297" t="s">
        <v>1922</v>
      </c>
      <c r="D440" s="297" t="s">
        <v>1716</v>
      </c>
      <c r="E440" s="297" t="s">
        <v>1380</v>
      </c>
      <c r="F440" s="297" t="s">
        <v>3060</v>
      </c>
      <c r="G440" s="297"/>
      <c r="H440" s="297" t="s">
        <v>3432</v>
      </c>
      <c r="I440" s="297" t="s">
        <v>3433</v>
      </c>
      <c r="J440" s="45" t="str">
        <f t="shared" si="12"/>
        <v>TinThai Solder Industry Corp., Ltd.</v>
      </c>
      <c r="K440" s="45" t="str">
        <f t="shared" si="13"/>
        <v>TinThai Solder Industry Corp., Ltd.</v>
      </c>
      <c r="T440"/>
    </row>
    <row r="441" spans="1:20" ht="10.5" customHeight="1">
      <c r="A441" s="297" t="s">
        <v>2291</v>
      </c>
      <c r="B441" s="297" t="s">
        <v>3434</v>
      </c>
      <c r="C441" s="297" t="s">
        <v>1922</v>
      </c>
      <c r="D441" s="297" t="s">
        <v>1716</v>
      </c>
      <c r="E441" s="297" t="s">
        <v>1380</v>
      </c>
      <c r="F441" s="297" t="s">
        <v>3060</v>
      </c>
      <c r="G441" s="297"/>
      <c r="H441" s="297" t="s">
        <v>3432</v>
      </c>
      <c r="I441" s="297" t="s">
        <v>3433</v>
      </c>
      <c r="J441" s="45" t="str">
        <f t="shared" si="12"/>
        <v>TinThailand Smelting &amp; Refining Co Ltd</v>
      </c>
      <c r="K441" s="45" t="str">
        <f t="shared" si="13"/>
        <v>TinThailand Smelting &amp; Refining Co Ltd</v>
      </c>
      <c r="T441"/>
    </row>
    <row r="442" spans="1:20" ht="10.5" customHeight="1">
      <c r="A442" s="297" t="s">
        <v>2291</v>
      </c>
      <c r="B442" s="297" t="s">
        <v>1922</v>
      </c>
      <c r="C442" s="297" t="s">
        <v>1922</v>
      </c>
      <c r="D442" s="297" t="s">
        <v>1716</v>
      </c>
      <c r="E442" s="297" t="s">
        <v>1380</v>
      </c>
      <c r="F442" s="297" t="s">
        <v>3060</v>
      </c>
      <c r="G442" s="297"/>
      <c r="H442" s="297" t="s">
        <v>3432</v>
      </c>
      <c r="I442" s="297" t="s">
        <v>3433</v>
      </c>
      <c r="J442" s="45" t="str">
        <f t="shared" si="12"/>
        <v>TinThaisarco</v>
      </c>
      <c r="K442" s="45" t="str">
        <f t="shared" si="13"/>
        <v>TinThaisarco</v>
      </c>
      <c r="T442"/>
    </row>
    <row r="443" spans="1:20" ht="10.5" customHeight="1">
      <c r="A443" s="297" t="s">
        <v>2291</v>
      </c>
      <c r="B443" s="297" t="s">
        <v>3437</v>
      </c>
      <c r="C443" s="297" t="s">
        <v>3435</v>
      </c>
      <c r="D443" s="297" t="s">
        <v>2150</v>
      </c>
      <c r="E443" s="297" t="s">
        <v>3436</v>
      </c>
      <c r="F443" s="297" t="s">
        <v>3060</v>
      </c>
      <c r="G443" s="297"/>
      <c r="H443" s="297" t="s">
        <v>4910</v>
      </c>
      <c r="I443" s="297" t="s">
        <v>3096</v>
      </c>
      <c r="J443" s="45" t="str">
        <f t="shared" si="12"/>
        <v>TinThe Gejiu cloud new colored electrolytic</v>
      </c>
      <c r="K443" s="45" t="str">
        <f t="shared" si="13"/>
        <v>TinThe Gejiu cloud new colored electrolytic</v>
      </c>
      <c r="T443"/>
    </row>
    <row r="444" spans="1:20" ht="10.5" customHeight="1">
      <c r="A444" s="297" t="s">
        <v>2291</v>
      </c>
      <c r="B444" s="297" t="s">
        <v>60</v>
      </c>
      <c r="C444" s="297" t="s">
        <v>4621</v>
      </c>
      <c r="D444" s="297" t="s">
        <v>2150</v>
      </c>
      <c r="E444" s="297" t="s">
        <v>1383</v>
      </c>
      <c r="F444" s="297" t="s">
        <v>3060</v>
      </c>
      <c r="G444" s="297"/>
      <c r="H444" s="297" t="s">
        <v>4910</v>
      </c>
      <c r="I444" s="297" t="s">
        <v>3096</v>
      </c>
      <c r="J444" s="45" t="str">
        <f t="shared" si="12"/>
        <v>TinTin Products Manufacturing Co.LTD. of YTCL</v>
      </c>
      <c r="K444" s="45" t="str">
        <f t="shared" si="13"/>
        <v>TinTin Products Manufacturing Co.LTD. of YTCL</v>
      </c>
      <c r="T444"/>
    </row>
    <row r="445" spans="1:20" ht="10.5" customHeight="1">
      <c r="A445" s="297" t="s">
        <v>2291</v>
      </c>
      <c r="B445" s="297" t="s">
        <v>3410</v>
      </c>
      <c r="C445" s="297" t="s">
        <v>1924</v>
      </c>
      <c r="D445" s="297" t="s">
        <v>2139</v>
      </c>
      <c r="E445" s="297" t="s">
        <v>1355</v>
      </c>
      <c r="F445" s="297" t="s">
        <v>3060</v>
      </c>
      <c r="G445" s="297"/>
      <c r="H445" s="297" t="s">
        <v>3409</v>
      </c>
      <c r="I445" s="297" t="s">
        <v>3248</v>
      </c>
      <c r="J445" s="45" t="str">
        <f t="shared" si="12"/>
        <v>TinToboca/ Paranapenema</v>
      </c>
      <c r="K445" s="45" t="str">
        <f t="shared" si="13"/>
        <v>TinToboca/ Paranapenema</v>
      </c>
      <c r="T445"/>
    </row>
    <row r="446" spans="1:20" ht="10.5" customHeight="1">
      <c r="A446" s="297" t="s">
        <v>2291</v>
      </c>
      <c r="B446" s="297" t="s">
        <v>3461</v>
      </c>
      <c r="C446" s="297" t="s">
        <v>3461</v>
      </c>
      <c r="D446" s="297" t="s">
        <v>1737</v>
      </c>
      <c r="E446" s="297" t="s">
        <v>3462</v>
      </c>
      <c r="F446" s="297" t="s">
        <v>3060</v>
      </c>
      <c r="G446" s="297"/>
      <c r="H446" s="297" t="s">
        <v>3463</v>
      </c>
      <c r="I446" s="297" t="s">
        <v>3464</v>
      </c>
      <c r="J446" s="45" t="str">
        <f t="shared" si="12"/>
        <v>TinTuyen Quang Non-Ferrous Metals Joint Stock Company</v>
      </c>
      <c r="K446" s="45" t="str">
        <f t="shared" si="13"/>
        <v>TinTuyen Quang Non-Ferrous Metals Joint Stock Company</v>
      </c>
      <c r="T446"/>
    </row>
    <row r="447" spans="1:20" ht="10.5" customHeight="1">
      <c r="A447" s="297" t="s">
        <v>2291</v>
      </c>
      <c r="B447" s="297" t="s">
        <v>4199</v>
      </c>
      <c r="C447" s="297" t="s">
        <v>3425</v>
      </c>
      <c r="D447" s="297" t="s">
        <v>2206</v>
      </c>
      <c r="E447" s="297" t="s">
        <v>1399</v>
      </c>
      <c r="F447" s="297" t="s">
        <v>3060</v>
      </c>
      <c r="G447" s="297"/>
      <c r="H447" s="297" t="s">
        <v>3426</v>
      </c>
      <c r="I447" s="297" t="s">
        <v>3427</v>
      </c>
      <c r="J447" s="45" t="str">
        <f t="shared" si="12"/>
        <v>TinUnit Timah Kundur PT Tambang</v>
      </c>
      <c r="K447" s="45" t="str">
        <f t="shared" si="13"/>
        <v>TinUnit Timah Kundur PT Tambang</v>
      </c>
      <c r="T447"/>
    </row>
    <row r="448" spans="1:20" ht="10.5" customHeight="1">
      <c r="A448" s="297" t="s">
        <v>2291</v>
      </c>
      <c r="B448" s="297" t="s">
        <v>3439</v>
      </c>
      <c r="C448" s="297" t="s">
        <v>3439</v>
      </c>
      <c r="D448" s="297" t="s">
        <v>1737</v>
      </c>
      <c r="E448" s="297" t="s">
        <v>3440</v>
      </c>
      <c r="F448" s="297" t="s">
        <v>3060</v>
      </c>
      <c r="G448" s="297"/>
      <c r="H448" s="297" t="s">
        <v>3441</v>
      </c>
      <c r="I448" s="297" t="s">
        <v>3442</v>
      </c>
      <c r="J448" s="45" t="str">
        <f t="shared" si="12"/>
        <v>TinVQB Mineral and Trading Group JSC</v>
      </c>
      <c r="K448" s="45" t="str">
        <f t="shared" si="13"/>
        <v>TinVQB Mineral and Trading Group JSC</v>
      </c>
      <c r="T448"/>
    </row>
    <row r="449" spans="1:20" ht="10.5" customHeight="1">
      <c r="A449" s="297" t="s">
        <v>2291</v>
      </c>
      <c r="B449" s="297" t="s">
        <v>67</v>
      </c>
      <c r="C449" s="297" t="s">
        <v>67</v>
      </c>
      <c r="D449" s="297" t="s">
        <v>2139</v>
      </c>
      <c r="E449" s="297" t="s">
        <v>1381</v>
      </c>
      <c r="F449" s="297" t="s">
        <v>3060</v>
      </c>
      <c r="G449" s="297"/>
      <c r="H449" s="297" t="s">
        <v>3382</v>
      </c>
      <c r="I449" s="297" t="s">
        <v>3383</v>
      </c>
      <c r="J449" s="45" t="str">
        <f t="shared" si="12"/>
        <v>TinWhite Solder Metalurgia e Mineração Ltda.</v>
      </c>
      <c r="K449" s="45" t="str">
        <f t="shared" si="13"/>
        <v>TinWhite Solder Metalurgia e Mineração Ltda.</v>
      </c>
      <c r="T449"/>
    </row>
    <row r="450" spans="1:20" ht="10.5" customHeight="1">
      <c r="A450" s="297" t="s">
        <v>2291</v>
      </c>
      <c r="B450" s="297" t="s">
        <v>3443</v>
      </c>
      <c r="C450" s="297" t="s">
        <v>67</v>
      </c>
      <c r="D450" s="297" t="s">
        <v>2139</v>
      </c>
      <c r="E450" s="297" t="s">
        <v>1381</v>
      </c>
      <c r="F450" s="297" t="s">
        <v>3060</v>
      </c>
      <c r="G450" s="297"/>
      <c r="H450" s="297" t="s">
        <v>3382</v>
      </c>
      <c r="I450" s="297" t="s">
        <v>3383</v>
      </c>
      <c r="J450" s="45" t="str">
        <f t="shared" si="12"/>
        <v>TinWhite Solder Metalurgica</v>
      </c>
      <c r="K450" s="45" t="str">
        <f t="shared" si="13"/>
        <v>TinWhite Solder Metalurgica</v>
      </c>
      <c r="T450"/>
    </row>
    <row r="451" spans="1:20" ht="10.5" customHeight="1">
      <c r="A451" s="297" t="s">
        <v>2291</v>
      </c>
      <c r="B451" s="297" t="s">
        <v>3404</v>
      </c>
      <c r="C451" s="297" t="s">
        <v>2543</v>
      </c>
      <c r="D451" s="297" t="s">
        <v>2150</v>
      </c>
      <c r="E451" s="297" t="s">
        <v>1353</v>
      </c>
      <c r="F451" s="297" t="s">
        <v>3060</v>
      </c>
      <c r="G451" s="297"/>
      <c r="H451" s="297" t="s">
        <v>3400</v>
      </c>
      <c r="I451" s="297" t="s">
        <v>3373</v>
      </c>
      <c r="J451" s="45" t="str">
        <f t="shared" si="12"/>
        <v>TinXiHai - Liuzhou China Tin Group Co ltd</v>
      </c>
      <c r="K451" s="45" t="str">
        <f t="shared" si="13"/>
        <v>TinXiHai - Liuzhou China Tin Group Co ltd</v>
      </c>
      <c r="T451"/>
    </row>
    <row r="452" spans="1:20" ht="10.5" customHeight="1">
      <c r="A452" s="297" t="s">
        <v>2291</v>
      </c>
      <c r="B452" s="297" t="s">
        <v>1908</v>
      </c>
      <c r="C452" s="297" t="s">
        <v>4621</v>
      </c>
      <c r="D452" s="297" t="s">
        <v>2150</v>
      </c>
      <c r="E452" s="297" t="s">
        <v>1383</v>
      </c>
      <c r="F452" s="297" t="s">
        <v>3060</v>
      </c>
      <c r="G452" s="297"/>
      <c r="H452" s="297" t="s">
        <v>4910</v>
      </c>
      <c r="I452" s="297" t="s">
        <v>3096</v>
      </c>
      <c r="J452" s="45" t="str">
        <f t="shared" si="12"/>
        <v>TinYTCL</v>
      </c>
      <c r="K452" s="45" t="str">
        <f t="shared" si="13"/>
        <v>TinYTCL</v>
      </c>
      <c r="T452"/>
    </row>
    <row r="453" spans="1:20" ht="10.5" customHeight="1">
      <c r="A453" s="297" t="s">
        <v>2291</v>
      </c>
      <c r="B453" s="297" t="s">
        <v>3438</v>
      </c>
      <c r="C453" s="297" t="s">
        <v>3435</v>
      </c>
      <c r="D453" s="297" t="s">
        <v>2150</v>
      </c>
      <c r="E453" s="297" t="s">
        <v>3436</v>
      </c>
      <c r="F453" s="297" t="s">
        <v>3060</v>
      </c>
      <c r="G453" s="297"/>
      <c r="H453" s="297" t="s">
        <v>4910</v>
      </c>
      <c r="I453" s="297" t="s">
        <v>3096</v>
      </c>
      <c r="J453" s="45" t="str">
        <f t="shared" si="12"/>
        <v>TinYunan Gejiu Yunxin Electrolyze Limited</v>
      </c>
      <c r="K453" s="45" t="str">
        <f t="shared" si="13"/>
        <v>TinYunan Gejiu Yunxin Electrolyze Limited</v>
      </c>
      <c r="T453"/>
    </row>
    <row r="454" spans="1:20" ht="10.5" customHeight="1">
      <c r="A454" s="297" t="s">
        <v>2291</v>
      </c>
      <c r="B454" s="297" t="s">
        <v>3444</v>
      </c>
      <c r="C454" s="297" t="s">
        <v>4069</v>
      </c>
      <c r="D454" s="297" t="s">
        <v>2150</v>
      </c>
      <c r="E454" s="297" t="s">
        <v>1382</v>
      </c>
      <c r="F454" s="297" t="s">
        <v>3060</v>
      </c>
      <c r="G454" s="297"/>
      <c r="H454" s="297" t="s">
        <v>4910</v>
      </c>
      <c r="I454" s="297" t="s">
        <v>3096</v>
      </c>
      <c r="J454" s="45" t="str">
        <f t="shared" si="12"/>
        <v>TinYunnan Adventure Co., Ltd.</v>
      </c>
      <c r="K454" s="45" t="str">
        <f t="shared" si="13"/>
        <v>TinYunnan Adventure Co., Ltd.</v>
      </c>
      <c r="T454"/>
    </row>
    <row r="455" spans="1:20" ht="10.5" customHeight="1">
      <c r="A455" s="297" t="s">
        <v>2291</v>
      </c>
      <c r="B455" s="297" t="s">
        <v>4200</v>
      </c>
      <c r="C455" s="297" t="s">
        <v>4069</v>
      </c>
      <c r="D455" s="297" t="s">
        <v>2150</v>
      </c>
      <c r="E455" s="297" t="s">
        <v>1382</v>
      </c>
      <c r="F455" s="297" t="s">
        <v>3060</v>
      </c>
      <c r="G455" s="297"/>
      <c r="H455" s="297" t="s">
        <v>4910</v>
      </c>
      <c r="I455" s="297" t="s">
        <v>3096</v>
      </c>
      <c r="J455" s="45" t="str">
        <f t="shared" si="12"/>
        <v>TinYunnan Chengfeng</v>
      </c>
      <c r="K455" s="45" t="str">
        <f t="shared" si="13"/>
        <v>TinYunnan Chengfeng</v>
      </c>
      <c r="T455"/>
    </row>
    <row r="456" spans="1:20" ht="10.5" customHeight="1">
      <c r="A456" s="297" t="s">
        <v>2291</v>
      </c>
      <c r="B456" s="297" t="s">
        <v>4069</v>
      </c>
      <c r="C456" s="297" t="s">
        <v>4069</v>
      </c>
      <c r="D456" s="297" t="s">
        <v>2150</v>
      </c>
      <c r="E456" s="297" t="s">
        <v>1382</v>
      </c>
      <c r="F456" s="297" t="s">
        <v>3060</v>
      </c>
      <c r="G456" s="297"/>
      <c r="H456" s="297" t="s">
        <v>4910</v>
      </c>
      <c r="I456" s="297" t="s">
        <v>3096</v>
      </c>
      <c r="J456" s="45" t="str">
        <f t="shared" si="12"/>
        <v>TinYunnan Chengfeng Non-ferrous Metals Co., Ltd.</v>
      </c>
      <c r="K456" s="45" t="str">
        <f t="shared" si="13"/>
        <v>TinYunnan Chengfeng Non-ferrous Metals Co., Ltd.</v>
      </c>
      <c r="T456"/>
    </row>
    <row r="457" spans="1:20" ht="10.5" customHeight="1">
      <c r="A457" s="297" t="s">
        <v>2291</v>
      </c>
      <c r="B457" s="297" t="s">
        <v>4991</v>
      </c>
      <c r="C457" s="297" t="s">
        <v>3397</v>
      </c>
      <c r="D457" s="297" t="s">
        <v>2150</v>
      </c>
      <c r="E457" s="297" t="s">
        <v>1350</v>
      </c>
      <c r="F457" s="297" t="s">
        <v>3060</v>
      </c>
      <c r="G457" s="297"/>
      <c r="H457" s="297" t="s">
        <v>4910</v>
      </c>
      <c r="I457" s="297" t="s">
        <v>3096</v>
      </c>
      <c r="J457" s="45" t="str">
        <f t="shared" si="12"/>
        <v>TinYunnan Gejiu Zili Metallurgy Co., Ltd.</v>
      </c>
      <c r="K457" s="45" t="str">
        <f t="shared" si="13"/>
        <v>TinYunnan Gejiu Zili Metallurgy Co., Ltd.</v>
      </c>
      <c r="T457"/>
    </row>
    <row r="458" spans="1:20" ht="10.5" customHeight="1">
      <c r="A458" s="297" t="s">
        <v>2291</v>
      </c>
      <c r="B458" s="297" t="s">
        <v>4612</v>
      </c>
      <c r="C458" s="297" t="s">
        <v>3435</v>
      </c>
      <c r="D458" s="297" t="s">
        <v>2150</v>
      </c>
      <c r="E458" s="297" t="s">
        <v>3436</v>
      </c>
      <c r="F458" s="297" t="s">
        <v>3060</v>
      </c>
      <c r="G458" s="297"/>
      <c r="H458" s="297" t="s">
        <v>4910</v>
      </c>
      <c r="I458" s="297" t="s">
        <v>3096</v>
      </c>
      <c r="J458" s="45" t="str">
        <f t="shared" ref="J458:J523" si="14">A458&amp;B458</f>
        <v>TinYunNan Gejiu Yunxin Electrolyze Limited</v>
      </c>
      <c r="K458" s="45" t="str">
        <f t="shared" ref="K458:K523" si="15">A458&amp;B458</f>
        <v>TinYunNan Gejiu Yunxin Electrolyze Limited</v>
      </c>
      <c r="T458"/>
    </row>
    <row r="459" spans="1:20" ht="10.5" customHeight="1">
      <c r="A459" s="297" t="s">
        <v>2291</v>
      </c>
      <c r="B459" s="297" t="s">
        <v>4621</v>
      </c>
      <c r="C459" s="297" t="s">
        <v>4621</v>
      </c>
      <c r="D459" s="297" t="s">
        <v>2150</v>
      </c>
      <c r="E459" s="297" t="s">
        <v>1383</v>
      </c>
      <c r="F459" s="297" t="s">
        <v>3060</v>
      </c>
      <c r="G459" s="297"/>
      <c r="H459" s="297" t="s">
        <v>4910</v>
      </c>
      <c r="I459" s="297" t="s">
        <v>3096</v>
      </c>
      <c r="J459" s="45" t="str">
        <f t="shared" si="14"/>
        <v>TinYunnan Tin Company Limited</v>
      </c>
      <c r="K459" s="45" t="str">
        <f t="shared" si="15"/>
        <v>TinYunnan Tin Company Limited</v>
      </c>
      <c r="T459"/>
    </row>
    <row r="460" spans="1:20" ht="10.5" customHeight="1">
      <c r="A460" s="297" t="s">
        <v>2291</v>
      </c>
      <c r="B460" s="297" t="s">
        <v>68</v>
      </c>
      <c r="C460" s="297" t="s">
        <v>4621</v>
      </c>
      <c r="D460" s="297" t="s">
        <v>2150</v>
      </c>
      <c r="E460" s="297" t="s">
        <v>1383</v>
      </c>
      <c r="F460" s="297" t="s">
        <v>3060</v>
      </c>
      <c r="G460" s="297"/>
      <c r="H460" s="297" t="s">
        <v>4910</v>
      </c>
      <c r="I460" s="297" t="s">
        <v>3096</v>
      </c>
      <c r="J460" s="45" t="str">
        <f t="shared" si="14"/>
        <v>TinYunnan Tin Company, Ltd.</v>
      </c>
      <c r="K460" s="45" t="str">
        <f t="shared" si="15"/>
        <v>TinYunnan Tin Company, Ltd.</v>
      </c>
      <c r="T460"/>
    </row>
    <row r="461" spans="1:20" ht="10.5" customHeight="1">
      <c r="A461" s="297" t="s">
        <v>2291</v>
      </c>
      <c r="B461" s="297" t="s">
        <v>3445</v>
      </c>
      <c r="C461" s="297" t="s">
        <v>4069</v>
      </c>
      <c r="D461" s="297" t="s">
        <v>2150</v>
      </c>
      <c r="E461" s="297" t="s">
        <v>1382</v>
      </c>
      <c r="F461" s="297" t="s">
        <v>3060</v>
      </c>
      <c r="G461" s="297"/>
      <c r="H461" s="297" t="s">
        <v>4910</v>
      </c>
      <c r="I461" s="297" t="s">
        <v>3096</v>
      </c>
      <c r="J461" s="45" t="str">
        <f t="shared" si="14"/>
        <v>TinYunnan wind Nonferrous Metals Co., Ltd.</v>
      </c>
      <c r="K461" s="45" t="str">
        <f t="shared" si="15"/>
        <v>TinYunnan wind Nonferrous Metals Co., Ltd.</v>
      </c>
      <c r="T461"/>
    </row>
    <row r="462" spans="1:20" ht="10.5" customHeight="1">
      <c r="A462" s="297" t="s">
        <v>2291</v>
      </c>
      <c r="B462" s="297" t="s">
        <v>61</v>
      </c>
      <c r="C462" s="297" t="s">
        <v>4621</v>
      </c>
      <c r="D462" s="297" t="s">
        <v>2150</v>
      </c>
      <c r="E462" s="297" t="s">
        <v>1383</v>
      </c>
      <c r="F462" s="297" t="s">
        <v>3060</v>
      </c>
      <c r="G462" s="297"/>
      <c r="H462" s="297" t="s">
        <v>4910</v>
      </c>
      <c r="I462" s="297" t="s">
        <v>3096</v>
      </c>
      <c r="J462" s="45" t="str">
        <f t="shared" si="14"/>
        <v>TinYuntinic Resources</v>
      </c>
      <c r="K462" s="45" t="str">
        <f t="shared" si="15"/>
        <v>TinYuntinic Resources</v>
      </c>
      <c r="T462"/>
    </row>
    <row r="463" spans="1:20" ht="10.5" customHeight="1">
      <c r="A463" s="297" t="s">
        <v>2291</v>
      </c>
      <c r="B463" s="297" t="s">
        <v>4613</v>
      </c>
      <c r="C463" s="297" t="s">
        <v>3435</v>
      </c>
      <c r="D463" s="297" t="s">
        <v>2150</v>
      </c>
      <c r="E463" s="297" t="s">
        <v>3436</v>
      </c>
      <c r="F463" s="297" t="s">
        <v>3060</v>
      </c>
      <c r="G463" s="297"/>
      <c r="H463" s="297" t="s">
        <v>4910</v>
      </c>
      <c r="I463" s="297" t="s">
        <v>3096</v>
      </c>
      <c r="J463" s="45" t="str">
        <f t="shared" si="14"/>
        <v>TinYUNXIN colored electrolysis Company Limited</v>
      </c>
      <c r="K463" s="45" t="str">
        <f t="shared" si="15"/>
        <v>TinYUNXIN colored electrolysis Company Limited</v>
      </c>
      <c r="T463"/>
    </row>
    <row r="464" spans="1:20" ht="10.5" customHeight="1">
      <c r="A464" s="243" t="s">
        <v>2291</v>
      </c>
      <c r="B464" s="243" t="s">
        <v>3517</v>
      </c>
      <c r="C464" s="243"/>
      <c r="D464" s="243"/>
      <c r="E464" s="243"/>
      <c r="F464" s="243"/>
      <c r="G464" s="243"/>
      <c r="H464" s="243"/>
      <c r="I464" s="243"/>
      <c r="J464" s="45" t="str">
        <f t="shared" si="14"/>
        <v>TinSmelter not listed</v>
      </c>
      <c r="K464" s="45" t="str">
        <f t="shared" si="15"/>
        <v>TinSmelter not listed</v>
      </c>
    </row>
    <row r="465" spans="1:20" ht="10.5" customHeight="1">
      <c r="A465" s="243" t="s">
        <v>2291</v>
      </c>
      <c r="B465" s="243" t="s">
        <v>2538</v>
      </c>
      <c r="C465" s="243" t="s">
        <v>906</v>
      </c>
      <c r="D465" s="243" t="s">
        <v>906</v>
      </c>
      <c r="E465" s="243"/>
      <c r="F465" s="243"/>
      <c r="G465" s="243"/>
      <c r="H465" s="243"/>
      <c r="I465" s="243"/>
      <c r="J465" s="45" t="str">
        <f t="shared" si="14"/>
        <v>TinSmelter not yet identified</v>
      </c>
      <c r="K465" s="45" t="str">
        <f t="shared" si="15"/>
        <v>TinSmelter not yet identified</v>
      </c>
    </row>
    <row r="466" spans="1:20" ht="10.5" customHeight="1">
      <c r="A466" s="297" t="s">
        <v>2293</v>
      </c>
      <c r="B466" s="297" t="s">
        <v>3474</v>
      </c>
      <c r="C466" s="297" t="s">
        <v>3474</v>
      </c>
      <c r="D466" s="297" t="s">
        <v>2217</v>
      </c>
      <c r="E466" s="297" t="s">
        <v>1384</v>
      </c>
      <c r="F466" s="297" t="s">
        <v>3060</v>
      </c>
      <c r="G466" s="297"/>
      <c r="H466" s="297" t="s">
        <v>4025</v>
      </c>
      <c r="I466" s="297" t="s">
        <v>4026</v>
      </c>
      <c r="J466" s="45" t="str">
        <f t="shared" si="14"/>
        <v>TungstenA.L.M.T. TUNGSTEN Corp.</v>
      </c>
      <c r="K466" s="45" t="str">
        <f t="shared" si="15"/>
        <v>TungstenA.L.M.T. TUNGSTEN Corp.</v>
      </c>
      <c r="T466"/>
    </row>
    <row r="467" spans="1:20" ht="10.5" customHeight="1">
      <c r="A467" s="297" t="s">
        <v>2293</v>
      </c>
      <c r="B467" s="297" t="s">
        <v>4248</v>
      </c>
      <c r="C467" s="297" t="s">
        <v>4248</v>
      </c>
      <c r="D467" s="297" t="s">
        <v>2139</v>
      </c>
      <c r="E467" s="297" t="s">
        <v>4249</v>
      </c>
      <c r="F467" s="297" t="s">
        <v>3060</v>
      </c>
      <c r="G467" s="297"/>
      <c r="H467" s="297" t="s">
        <v>4250</v>
      </c>
      <c r="I467" s="297" t="s">
        <v>3248</v>
      </c>
      <c r="J467" s="45" t="str">
        <f t="shared" si="14"/>
        <v>TungstenACL Metais Eireli</v>
      </c>
      <c r="K467" s="45" t="str">
        <f t="shared" si="15"/>
        <v>TungstenACL Metais Eireli</v>
      </c>
      <c r="T467"/>
    </row>
    <row r="468" spans="1:20" ht="10.5" customHeight="1">
      <c r="A468" s="297" t="s">
        <v>2293</v>
      </c>
      <c r="B468" s="297" t="s">
        <v>3475</v>
      </c>
      <c r="C468" s="297" t="s">
        <v>3474</v>
      </c>
      <c r="D468" s="297" t="s">
        <v>2217</v>
      </c>
      <c r="E468" s="297" t="s">
        <v>1384</v>
      </c>
      <c r="F468" s="297" t="s">
        <v>3060</v>
      </c>
      <c r="G468" s="297"/>
      <c r="H468" s="297" t="s">
        <v>4025</v>
      </c>
      <c r="I468" s="297" t="s">
        <v>4026</v>
      </c>
      <c r="J468" s="45" t="str">
        <f t="shared" si="14"/>
        <v>TungstenAllied Material Corporation</v>
      </c>
      <c r="K468" s="45" t="str">
        <f t="shared" si="15"/>
        <v>TungstenAllied Material Corporation</v>
      </c>
      <c r="T468"/>
    </row>
    <row r="469" spans="1:20" ht="10.5" customHeight="1">
      <c r="A469" s="297" t="s">
        <v>2293</v>
      </c>
      <c r="B469" s="297" t="s">
        <v>3476</v>
      </c>
      <c r="C469" s="297" t="s">
        <v>3474</v>
      </c>
      <c r="D469" s="297" t="s">
        <v>2217</v>
      </c>
      <c r="E469" s="297" t="s">
        <v>1384</v>
      </c>
      <c r="F469" s="297" t="s">
        <v>3060</v>
      </c>
      <c r="G469" s="297"/>
      <c r="H469" s="297" t="s">
        <v>4025</v>
      </c>
      <c r="I469" s="297" t="s">
        <v>4026</v>
      </c>
      <c r="J469" s="45" t="str">
        <f t="shared" si="14"/>
        <v>TungstenALMT Corp</v>
      </c>
      <c r="K469" s="45" t="str">
        <f t="shared" si="15"/>
        <v>TungstenALMT Corp</v>
      </c>
      <c r="T469"/>
    </row>
    <row r="470" spans="1:20" ht="10.5" customHeight="1">
      <c r="A470" s="297" t="s">
        <v>2293</v>
      </c>
      <c r="B470" s="297" t="s">
        <v>4201</v>
      </c>
      <c r="C470" s="297" t="s">
        <v>3474</v>
      </c>
      <c r="D470" s="297" t="s">
        <v>2217</v>
      </c>
      <c r="E470" s="297" t="s">
        <v>1384</v>
      </c>
      <c r="F470" s="297" t="s">
        <v>3060</v>
      </c>
      <c r="G470" s="297"/>
      <c r="H470" s="297" t="s">
        <v>4025</v>
      </c>
      <c r="I470" s="297" t="s">
        <v>4026</v>
      </c>
      <c r="J470" s="45" t="str">
        <f t="shared" si="14"/>
        <v>TungstenALMT Sumitomo Group</v>
      </c>
      <c r="K470" s="45" t="str">
        <f t="shared" si="15"/>
        <v>TungstenALMT Sumitomo Group</v>
      </c>
      <c r="T470"/>
    </row>
    <row r="471" spans="1:20" ht="10.5" customHeight="1">
      <c r="A471" s="297" t="s">
        <v>2293</v>
      </c>
      <c r="B471" s="297" t="s">
        <v>2667</v>
      </c>
      <c r="C471" s="297" t="s">
        <v>2667</v>
      </c>
      <c r="D471" s="297" t="s">
        <v>1737</v>
      </c>
      <c r="E471" s="297" t="s">
        <v>2668</v>
      </c>
      <c r="F471" s="297" t="s">
        <v>3060</v>
      </c>
      <c r="G471" s="297"/>
      <c r="H471" s="297" t="s">
        <v>3499</v>
      </c>
      <c r="I471" s="297" t="s">
        <v>3500</v>
      </c>
      <c r="J471" s="45" t="str">
        <f t="shared" si="14"/>
        <v>TungstenAsia Tungsten Products Vietnam Ltd.</v>
      </c>
      <c r="K471" s="45" t="str">
        <f t="shared" si="15"/>
        <v>TungstenAsia Tungsten Products Vietnam Ltd.</v>
      </c>
      <c r="T471"/>
    </row>
    <row r="472" spans="1:20" ht="10.5" customHeight="1">
      <c r="A472" s="297" t="s">
        <v>2293</v>
      </c>
      <c r="B472" s="297" t="s">
        <v>4202</v>
      </c>
      <c r="C472" s="297" t="s">
        <v>206</v>
      </c>
      <c r="D472" s="297" t="s">
        <v>4880</v>
      </c>
      <c r="E472" s="297" t="s">
        <v>1385</v>
      </c>
      <c r="F472" s="297" t="s">
        <v>3060</v>
      </c>
      <c r="G472" s="297"/>
      <c r="H472" s="297" t="s">
        <v>3477</v>
      </c>
      <c r="I472" s="297" t="s">
        <v>3478</v>
      </c>
      <c r="J472" s="45" t="str">
        <f t="shared" si="14"/>
        <v>TungstenATI Metalworking Products</v>
      </c>
      <c r="K472" s="45" t="str">
        <f t="shared" si="15"/>
        <v>TungstenATI Metalworking Products</v>
      </c>
      <c r="T472"/>
    </row>
    <row r="473" spans="1:20" ht="10.5" customHeight="1">
      <c r="A473" s="297" t="s">
        <v>2293</v>
      </c>
      <c r="B473" s="297" t="s">
        <v>2342</v>
      </c>
      <c r="C473" s="297" t="s">
        <v>206</v>
      </c>
      <c r="D473" s="297" t="s">
        <v>4880</v>
      </c>
      <c r="E473" s="297" t="s">
        <v>1385</v>
      </c>
      <c r="F473" s="297" t="s">
        <v>3060</v>
      </c>
      <c r="G473" s="297"/>
      <c r="H473" s="297" t="s">
        <v>3477</v>
      </c>
      <c r="I473" s="297" t="s">
        <v>3478</v>
      </c>
      <c r="J473" s="45" t="str">
        <f t="shared" si="14"/>
        <v>TungstenATI Tungsten Materials</v>
      </c>
      <c r="K473" s="45" t="str">
        <f t="shared" si="15"/>
        <v>TungstenATI Tungsten Materials</v>
      </c>
      <c r="T473"/>
    </row>
    <row r="474" spans="1:20" ht="10.5" customHeight="1">
      <c r="A474" s="297" t="s">
        <v>2293</v>
      </c>
      <c r="B474" s="297" t="s">
        <v>4208</v>
      </c>
      <c r="C474" s="297" t="s">
        <v>2624</v>
      </c>
      <c r="D474" s="297" t="s">
        <v>2150</v>
      </c>
      <c r="E474" s="297" t="s">
        <v>1386</v>
      </c>
      <c r="F474" s="297" t="s">
        <v>3060</v>
      </c>
      <c r="G474" s="297"/>
      <c r="H474" s="297" t="s">
        <v>3479</v>
      </c>
      <c r="I474" s="297" t="s">
        <v>3270</v>
      </c>
      <c r="J474" s="45" t="str">
        <f t="shared" si="14"/>
        <v>TungstenChaozhou Xianglu Tungsten Industry Co., Ltd.</v>
      </c>
      <c r="K474" s="45" t="str">
        <f t="shared" si="15"/>
        <v>TungstenChaozhou Xianglu Tungsten Industry Co., Ltd.</v>
      </c>
      <c r="T474"/>
    </row>
    <row r="475" spans="1:20" ht="10.5" customHeight="1">
      <c r="A475" s="297" t="s">
        <v>2293</v>
      </c>
      <c r="B475" s="297" t="s">
        <v>2669</v>
      </c>
      <c r="C475" s="297" t="s">
        <v>2669</v>
      </c>
      <c r="D475" s="297" t="s">
        <v>2150</v>
      </c>
      <c r="E475" s="297" t="s">
        <v>2670</v>
      </c>
      <c r="F475" s="297" t="s">
        <v>3060</v>
      </c>
      <c r="G475" s="297"/>
      <c r="H475" s="297" t="s">
        <v>3399</v>
      </c>
      <c r="I475" s="297" t="s">
        <v>3121</v>
      </c>
      <c r="J475" s="45" t="str">
        <f t="shared" si="14"/>
        <v>TungstenChenzhou Diamond Tungsten Products Co., Ltd.</v>
      </c>
      <c r="K475" s="45" t="str">
        <f t="shared" si="15"/>
        <v>TungstenChenzhou Diamond Tungsten Products Co., Ltd.</v>
      </c>
      <c r="T475"/>
    </row>
    <row r="476" spans="1:20" ht="10.5" customHeight="1">
      <c r="A476" s="297" t="s">
        <v>2293</v>
      </c>
      <c r="B476" s="297" t="s">
        <v>3483</v>
      </c>
      <c r="C476" s="297" t="s">
        <v>207</v>
      </c>
      <c r="D476" s="297" t="s">
        <v>2150</v>
      </c>
      <c r="E476" s="297" t="s">
        <v>1394</v>
      </c>
      <c r="F476" s="297" t="s">
        <v>3060</v>
      </c>
      <c r="G476" s="297"/>
      <c r="H476" s="297" t="s">
        <v>3398</v>
      </c>
      <c r="I476" s="297" t="s">
        <v>3139</v>
      </c>
      <c r="J476" s="45" t="str">
        <f t="shared" si="14"/>
        <v>TungstenChina National Non Ferrous</v>
      </c>
      <c r="K476" s="45" t="str">
        <f t="shared" si="15"/>
        <v>TungstenChina National Non Ferrous</v>
      </c>
      <c r="T476"/>
    </row>
    <row r="477" spans="1:20" ht="10.5" customHeight="1">
      <c r="A477" s="297" t="s">
        <v>2293</v>
      </c>
      <c r="B477" s="297" t="s">
        <v>2623</v>
      </c>
      <c r="C477" s="297" t="s">
        <v>2623</v>
      </c>
      <c r="D477" s="297" t="s">
        <v>2150</v>
      </c>
      <c r="E477" s="297" t="s">
        <v>1387</v>
      </c>
      <c r="F477" s="297" t="s">
        <v>3060</v>
      </c>
      <c r="G477" s="297"/>
      <c r="H477" s="297" t="s">
        <v>3398</v>
      </c>
      <c r="I477" s="297" t="s">
        <v>3139</v>
      </c>
      <c r="J477" s="45" t="str">
        <f t="shared" si="14"/>
        <v>TungstenChongyi Zhangyuan Tungsten Co., Ltd.</v>
      </c>
      <c r="K477" s="45" t="str">
        <f t="shared" si="15"/>
        <v>TungstenChongyi Zhangyuan Tungsten Co., Ltd.</v>
      </c>
      <c r="T477"/>
    </row>
    <row r="478" spans="1:20" ht="10.5" customHeight="1">
      <c r="A478" s="297" t="s">
        <v>2293</v>
      </c>
      <c r="B478" s="297" t="s">
        <v>2671</v>
      </c>
      <c r="C478" s="297" t="s">
        <v>2671</v>
      </c>
      <c r="D478" s="297" t="s">
        <v>2150</v>
      </c>
      <c r="E478" s="297" t="s">
        <v>2672</v>
      </c>
      <c r="F478" s="297" t="s">
        <v>3060</v>
      </c>
      <c r="G478" s="297"/>
      <c r="H478" s="297" t="s">
        <v>3501</v>
      </c>
      <c r="I478" s="297" t="s">
        <v>3139</v>
      </c>
      <c r="J478" s="45" t="str">
        <f t="shared" si="14"/>
        <v>TungstenDayu Jincheng Tungsten Industry Co., Ltd.</v>
      </c>
      <c r="K478" s="45" t="str">
        <f t="shared" si="15"/>
        <v>TungstenDayu Jincheng Tungsten Industry Co., Ltd.</v>
      </c>
      <c r="T478"/>
    </row>
    <row r="479" spans="1:20" ht="10.5" customHeight="1">
      <c r="A479" s="297" t="s">
        <v>2293</v>
      </c>
      <c r="B479" s="297" t="s">
        <v>1437</v>
      </c>
      <c r="C479" s="297" t="s">
        <v>1437</v>
      </c>
      <c r="D479" s="297" t="s">
        <v>2150</v>
      </c>
      <c r="E479" s="297" t="s">
        <v>1388</v>
      </c>
      <c r="F479" s="297" t="s">
        <v>3060</v>
      </c>
      <c r="G479" s="297"/>
      <c r="H479" s="297" t="s">
        <v>3398</v>
      </c>
      <c r="I479" s="297" t="s">
        <v>3139</v>
      </c>
      <c r="J479" s="45" t="str">
        <f t="shared" si="14"/>
        <v>TungstenDayu Weiliang Tungsten Co., Ltd.</v>
      </c>
      <c r="K479" s="45" t="str">
        <f t="shared" si="15"/>
        <v>TungstenDayu Weiliang Tungsten Co., Ltd.</v>
      </c>
      <c r="T479"/>
    </row>
    <row r="480" spans="1:20" ht="10.5" customHeight="1">
      <c r="A480" s="297" t="s">
        <v>2293</v>
      </c>
      <c r="B480" s="297" t="s">
        <v>1438</v>
      </c>
      <c r="C480" s="297" t="s">
        <v>1438</v>
      </c>
      <c r="D480" s="297" t="s">
        <v>2150</v>
      </c>
      <c r="E480" s="297" t="s">
        <v>1389</v>
      </c>
      <c r="F480" s="297" t="s">
        <v>3060</v>
      </c>
      <c r="G480" s="297"/>
      <c r="H480" s="297" t="s">
        <v>3481</v>
      </c>
      <c r="I480" s="297" t="s">
        <v>3267</v>
      </c>
      <c r="J480" s="45" t="str">
        <f t="shared" si="14"/>
        <v>TungstenFujian Jinxin Tungsten Co., Ltd.</v>
      </c>
      <c r="K480" s="45" t="str">
        <f t="shared" si="15"/>
        <v>TungstenFujian Jinxin Tungsten Co., Ltd.</v>
      </c>
      <c r="T480"/>
    </row>
    <row r="481" spans="1:20" ht="10.5" customHeight="1">
      <c r="A481" s="297" t="s">
        <v>2293</v>
      </c>
      <c r="B481" s="297" t="s">
        <v>207</v>
      </c>
      <c r="C481" s="297" t="s">
        <v>207</v>
      </c>
      <c r="D481" s="297" t="s">
        <v>2150</v>
      </c>
      <c r="E481" s="297" t="s">
        <v>1394</v>
      </c>
      <c r="F481" s="297" t="s">
        <v>3060</v>
      </c>
      <c r="G481" s="297"/>
      <c r="H481" s="297" t="s">
        <v>3398</v>
      </c>
      <c r="I481" s="297" t="s">
        <v>3139</v>
      </c>
      <c r="J481" s="45" t="str">
        <f t="shared" si="14"/>
        <v>TungstenGanzhou Huaxing Tungsten Products Co., Ltd.</v>
      </c>
      <c r="K481" s="45" t="str">
        <f t="shared" si="15"/>
        <v>TungstenGanzhou Huaxing Tungsten Products Co., Ltd.</v>
      </c>
      <c r="T481"/>
    </row>
    <row r="482" spans="1:20" ht="10.5" customHeight="1">
      <c r="A482" s="297" t="s">
        <v>2293</v>
      </c>
      <c r="B482" s="297" t="s">
        <v>209</v>
      </c>
      <c r="C482" s="297" t="s">
        <v>209</v>
      </c>
      <c r="D482" s="297" t="s">
        <v>2150</v>
      </c>
      <c r="E482" s="297" t="s">
        <v>198</v>
      </c>
      <c r="F482" s="297" t="s">
        <v>3060</v>
      </c>
      <c r="G482" s="297"/>
      <c r="H482" s="297" t="s">
        <v>3398</v>
      </c>
      <c r="I482" s="297" t="s">
        <v>3139</v>
      </c>
      <c r="J482" s="45" t="str">
        <f t="shared" si="14"/>
        <v>TungstenGanzhou Jiangwu Ferrotungsten Co., Ltd.</v>
      </c>
      <c r="K482" s="45" t="str">
        <f t="shared" si="15"/>
        <v>TungstenGanzhou Jiangwu Ferrotungsten Co., Ltd.</v>
      </c>
      <c r="T482"/>
    </row>
    <row r="483" spans="1:20" ht="10.5" customHeight="1">
      <c r="A483" s="297" t="s">
        <v>2293</v>
      </c>
      <c r="B483" s="297" t="s">
        <v>709</v>
      </c>
      <c r="C483" s="297" t="s">
        <v>709</v>
      </c>
      <c r="D483" s="297" t="s">
        <v>2150</v>
      </c>
      <c r="E483" s="297" t="s">
        <v>710</v>
      </c>
      <c r="F483" s="297" t="s">
        <v>3060</v>
      </c>
      <c r="G483" s="297"/>
      <c r="H483" s="297" t="s">
        <v>3398</v>
      </c>
      <c r="I483" s="297" t="s">
        <v>3139</v>
      </c>
      <c r="J483" s="45" t="str">
        <f t="shared" si="14"/>
        <v>TungstenGanzhou Seadragon W &amp; Mo Co., Ltd.</v>
      </c>
      <c r="K483" s="45" t="str">
        <f t="shared" si="15"/>
        <v>TungstenGanzhou Seadragon W &amp; Mo Co., Ltd.</v>
      </c>
      <c r="T483"/>
    </row>
    <row r="484" spans="1:20" ht="10.5" customHeight="1">
      <c r="A484" s="297" t="s">
        <v>2293</v>
      </c>
      <c r="B484" s="297" t="s">
        <v>2673</v>
      </c>
      <c r="C484" s="297" t="s">
        <v>2673</v>
      </c>
      <c r="D484" s="297" t="s">
        <v>2150</v>
      </c>
      <c r="E484" s="297" t="s">
        <v>2674</v>
      </c>
      <c r="F484" s="297" t="s">
        <v>3060</v>
      </c>
      <c r="G484" s="297"/>
      <c r="H484" s="297" t="s">
        <v>3398</v>
      </c>
      <c r="I484" s="297" t="s">
        <v>3139</v>
      </c>
      <c r="J484" s="45" t="str">
        <f t="shared" si="14"/>
        <v>TungstenGanzhou Yatai Tungsten Co., Ltd.</v>
      </c>
      <c r="K484" s="45" t="str">
        <f t="shared" si="15"/>
        <v>TungstenGanzhou Yatai Tungsten Co., Ltd.</v>
      </c>
      <c r="T484"/>
    </row>
    <row r="485" spans="1:20" ht="10.5" customHeight="1">
      <c r="A485" s="297" t="s">
        <v>2293</v>
      </c>
      <c r="B485" s="297" t="s">
        <v>1</v>
      </c>
      <c r="C485" s="297" t="s">
        <v>1</v>
      </c>
      <c r="D485" s="297" t="s">
        <v>4880</v>
      </c>
      <c r="E485" s="297" t="s">
        <v>1390</v>
      </c>
      <c r="F485" s="297" t="s">
        <v>3060</v>
      </c>
      <c r="G485" s="297"/>
      <c r="H485" s="297" t="s">
        <v>3482</v>
      </c>
      <c r="I485" s="297" t="s">
        <v>3332</v>
      </c>
      <c r="J485" s="45" t="str">
        <f t="shared" si="14"/>
        <v>TungstenGlobal Tungsten &amp; Powders Corp.</v>
      </c>
      <c r="K485" s="45" t="str">
        <f t="shared" si="15"/>
        <v>TungstenGlobal Tungsten &amp; Powders Corp.</v>
      </c>
      <c r="T485"/>
    </row>
    <row r="486" spans="1:20" ht="10.5" customHeight="1">
      <c r="A486" s="297" t="s">
        <v>2293</v>
      </c>
      <c r="B486" s="297" t="s">
        <v>1909</v>
      </c>
      <c r="C486" s="297" t="s">
        <v>1</v>
      </c>
      <c r="D486" s="297" t="s">
        <v>4880</v>
      </c>
      <c r="E486" s="297" t="s">
        <v>1390</v>
      </c>
      <c r="F486" s="297" t="s">
        <v>3060</v>
      </c>
      <c r="G486" s="297"/>
      <c r="H486" s="297" t="s">
        <v>3482</v>
      </c>
      <c r="I486" s="297" t="s">
        <v>3332</v>
      </c>
      <c r="J486" s="45" t="str">
        <f t="shared" si="14"/>
        <v>TungstenGTP</v>
      </c>
      <c r="K486" s="45" t="str">
        <f t="shared" si="15"/>
        <v>TungstenGTP</v>
      </c>
      <c r="T486"/>
    </row>
    <row r="487" spans="1:20" ht="10.5" customHeight="1">
      <c r="A487" s="297" t="s">
        <v>2293</v>
      </c>
      <c r="B487" s="297" t="s">
        <v>2624</v>
      </c>
      <c r="C487" s="297" t="s">
        <v>2624</v>
      </c>
      <c r="D487" s="297" t="s">
        <v>2150</v>
      </c>
      <c r="E487" s="297" t="s">
        <v>1386</v>
      </c>
      <c r="F487" s="297" t="s">
        <v>3060</v>
      </c>
      <c r="G487" s="297"/>
      <c r="H487" s="297" t="s">
        <v>3479</v>
      </c>
      <c r="I487" s="297" t="s">
        <v>3270</v>
      </c>
      <c r="J487" s="45" t="str">
        <f t="shared" si="14"/>
        <v>TungstenGuangdong Xianglu Tungsten Co., Ltd.</v>
      </c>
      <c r="K487" s="45" t="str">
        <f t="shared" si="15"/>
        <v>TungstenGuangdong Xianglu Tungsten Co., Ltd.</v>
      </c>
      <c r="T487"/>
    </row>
    <row r="488" spans="1:20" ht="10.5" customHeight="1">
      <c r="A488" s="297" t="s">
        <v>2293</v>
      </c>
      <c r="B488" s="297" t="s">
        <v>2706</v>
      </c>
      <c r="C488" s="297" t="s">
        <v>2706</v>
      </c>
      <c r="D488" s="297" t="s">
        <v>2164</v>
      </c>
      <c r="E488" s="297" t="s">
        <v>2707</v>
      </c>
      <c r="F488" s="297" t="s">
        <v>3060</v>
      </c>
      <c r="G488" s="297"/>
      <c r="H488" s="297" t="s">
        <v>3349</v>
      </c>
      <c r="I488" s="297" t="s">
        <v>3350</v>
      </c>
      <c r="J488" s="45" t="str">
        <f t="shared" si="14"/>
        <v>TungstenH.C. Starck GmbH</v>
      </c>
      <c r="K488" s="45" t="str">
        <f t="shared" si="15"/>
        <v>TungstenH.C. Starck GmbH</v>
      </c>
      <c r="T488"/>
    </row>
    <row r="489" spans="1:20" ht="10.5" customHeight="1">
      <c r="A489" s="297" t="s">
        <v>2293</v>
      </c>
      <c r="B489" s="297" t="s">
        <v>2697</v>
      </c>
      <c r="C489" s="297" t="s">
        <v>2697</v>
      </c>
      <c r="D489" s="297" t="s">
        <v>2164</v>
      </c>
      <c r="E489" s="297" t="s">
        <v>2708</v>
      </c>
      <c r="F489" s="297" t="s">
        <v>3060</v>
      </c>
      <c r="G489" s="297"/>
      <c r="H489" s="297" t="s">
        <v>3351</v>
      </c>
      <c r="I489" s="297" t="s">
        <v>3066</v>
      </c>
      <c r="J489" s="45" t="str">
        <f t="shared" si="14"/>
        <v>TungstenH.C. Starck Smelting GmbH &amp; Co.KG</v>
      </c>
      <c r="K489" s="45" t="str">
        <f t="shared" si="15"/>
        <v>TungstenH.C. Starck Smelting GmbH &amp; Co.KG</v>
      </c>
      <c r="T489"/>
    </row>
    <row r="490" spans="1:20" ht="10.5" customHeight="1">
      <c r="A490" s="297" t="s">
        <v>2293</v>
      </c>
      <c r="B490" s="297" t="s">
        <v>4622</v>
      </c>
      <c r="C490" s="297" t="s">
        <v>2625</v>
      </c>
      <c r="D490" s="297" t="s">
        <v>2150</v>
      </c>
      <c r="E490" s="297" t="s">
        <v>1392</v>
      </c>
      <c r="F490" s="297" t="s">
        <v>3060</v>
      </c>
      <c r="G490" s="297"/>
      <c r="H490" s="297" t="s">
        <v>3338</v>
      </c>
      <c r="I490" s="297" t="s">
        <v>3121</v>
      </c>
      <c r="J490" s="45" t="str">
        <f t="shared" si="14"/>
        <v>TungstenHuman Chun-Chang non-ferrous Smelting &amp; Concentrating Co., Ltd.</v>
      </c>
      <c r="K490" s="45" t="str">
        <f t="shared" si="15"/>
        <v>TungstenHuman Chun-Chang non-ferrous Smelting &amp; Concentrating Co., Ltd.</v>
      </c>
      <c r="T490"/>
    </row>
    <row r="491" spans="1:20" ht="10.5" customHeight="1">
      <c r="A491" s="297" t="s">
        <v>2293</v>
      </c>
      <c r="B491" s="297" t="s">
        <v>4171</v>
      </c>
      <c r="C491" s="297" t="s">
        <v>4171</v>
      </c>
      <c r="D491" s="297" t="s">
        <v>2150</v>
      </c>
      <c r="E491" s="297" t="s">
        <v>1391</v>
      </c>
      <c r="F491" s="297" t="s">
        <v>3060</v>
      </c>
      <c r="G491" s="297"/>
      <c r="H491" s="297" t="s">
        <v>4027</v>
      </c>
      <c r="I491" s="297" t="s">
        <v>3121</v>
      </c>
      <c r="J491" s="45" t="str">
        <f t="shared" si="14"/>
        <v>TungstenHunan Chenzhou Mining Co., Ltd.</v>
      </c>
      <c r="K491" s="45" t="str">
        <f t="shared" si="15"/>
        <v>TungstenHunan Chenzhou Mining Co., Ltd.</v>
      </c>
      <c r="T491"/>
    </row>
    <row r="492" spans="1:20" ht="10.5" customHeight="1">
      <c r="A492" s="297" t="s">
        <v>2293</v>
      </c>
      <c r="B492" s="297" t="s">
        <v>2621</v>
      </c>
      <c r="C492" s="297" t="s">
        <v>4171</v>
      </c>
      <c r="D492" s="297" t="s">
        <v>2150</v>
      </c>
      <c r="E492" s="297" t="s">
        <v>1391</v>
      </c>
      <c r="F492" s="297" t="s">
        <v>3060</v>
      </c>
      <c r="G492" s="297"/>
      <c r="H492" s="297" t="s">
        <v>4027</v>
      </c>
      <c r="I492" s="297" t="s">
        <v>3121</v>
      </c>
      <c r="J492" s="45" t="str">
        <f t="shared" si="14"/>
        <v>TungstenHunan Chenzhou Mining Group Co., Ltd.</v>
      </c>
      <c r="K492" s="45" t="str">
        <f t="shared" si="15"/>
        <v>TungstenHunan Chenzhou Mining Group Co., Ltd.</v>
      </c>
      <c r="T492"/>
    </row>
    <row r="493" spans="1:20" ht="10.5" customHeight="1">
      <c r="A493" s="297" t="s">
        <v>2293</v>
      </c>
      <c r="B493" s="297" t="s">
        <v>3504</v>
      </c>
      <c r="C493" s="297" t="s">
        <v>3504</v>
      </c>
      <c r="D493" s="297" t="s">
        <v>2150</v>
      </c>
      <c r="E493" s="297" t="s">
        <v>3505</v>
      </c>
      <c r="F493" s="297" t="s">
        <v>3060</v>
      </c>
      <c r="G493" s="297"/>
      <c r="H493" s="297" t="s">
        <v>3338</v>
      </c>
      <c r="I493" s="297" t="s">
        <v>3121</v>
      </c>
      <c r="J493" s="45" t="str">
        <f t="shared" si="14"/>
        <v>TungstenHunan Chuangda Vanadium Tungsten Co., Ltd. Wuji</v>
      </c>
      <c r="K493" s="45" t="str">
        <f t="shared" si="15"/>
        <v>TungstenHunan Chuangda Vanadium Tungsten Co., Ltd. Wuji</v>
      </c>
      <c r="T493"/>
    </row>
    <row r="494" spans="1:20" ht="10.5" customHeight="1">
      <c r="A494" s="297" t="s">
        <v>2293</v>
      </c>
      <c r="B494" s="297" t="s">
        <v>2625</v>
      </c>
      <c r="C494" s="297" t="s">
        <v>2625</v>
      </c>
      <c r="D494" s="297" t="s">
        <v>2150</v>
      </c>
      <c r="E494" s="297" t="s">
        <v>1392</v>
      </c>
      <c r="F494" s="297" t="s">
        <v>3060</v>
      </c>
      <c r="G494" s="297"/>
      <c r="H494" s="297" t="s">
        <v>3338</v>
      </c>
      <c r="I494" s="297" t="s">
        <v>3121</v>
      </c>
      <c r="J494" s="45" t="str">
        <f t="shared" si="14"/>
        <v>TungstenHunan Chunchang Nonferrous Metals Co., Ltd.</v>
      </c>
      <c r="K494" s="45" t="str">
        <f t="shared" si="15"/>
        <v>TungstenHunan Chunchang Nonferrous Metals Co., Ltd.</v>
      </c>
      <c r="T494"/>
    </row>
    <row r="495" spans="1:20" ht="10.5" customHeight="1">
      <c r="A495" s="297" t="s">
        <v>2293</v>
      </c>
      <c r="B495" s="297" t="s">
        <v>3509</v>
      </c>
      <c r="C495" s="297" t="s">
        <v>3509</v>
      </c>
      <c r="D495" s="297" t="s">
        <v>1690</v>
      </c>
      <c r="E495" s="297" t="s">
        <v>3510</v>
      </c>
      <c r="F495" s="297" t="s">
        <v>3060</v>
      </c>
      <c r="G495" s="297"/>
      <c r="H495" s="297" t="s">
        <v>3511</v>
      </c>
      <c r="I495" s="297" t="s">
        <v>3512</v>
      </c>
      <c r="J495" s="45" t="str">
        <f t="shared" si="14"/>
        <v>TungstenHydrometallurg, JSC</v>
      </c>
      <c r="K495" s="45" t="str">
        <f t="shared" si="15"/>
        <v>TungstenHydrometallurg, JSC</v>
      </c>
      <c r="T495"/>
    </row>
    <row r="496" spans="1:20" ht="10.5" customHeight="1">
      <c r="A496" s="297" t="s">
        <v>2293</v>
      </c>
      <c r="B496" s="297" t="s">
        <v>2626</v>
      </c>
      <c r="C496" s="297" t="s">
        <v>2626</v>
      </c>
      <c r="D496" s="297" t="s">
        <v>2217</v>
      </c>
      <c r="E496" s="297" t="s">
        <v>1393</v>
      </c>
      <c r="F496" s="297" t="s">
        <v>3060</v>
      </c>
      <c r="G496" s="297"/>
      <c r="H496" s="297" t="s">
        <v>4028</v>
      </c>
      <c r="I496" s="297" t="s">
        <v>3109</v>
      </c>
      <c r="J496" s="45" t="str">
        <f t="shared" si="14"/>
        <v>TungstenJapan New Metals Co., Ltd.</v>
      </c>
      <c r="K496" s="45" t="str">
        <f t="shared" si="15"/>
        <v>TungstenJapan New Metals Co., Ltd.</v>
      </c>
      <c r="T496"/>
    </row>
    <row r="497" spans="1:20" ht="10.5" customHeight="1">
      <c r="A497" s="297" t="s">
        <v>2293</v>
      </c>
      <c r="B497" s="297" t="s">
        <v>2709</v>
      </c>
      <c r="C497" s="297" t="s">
        <v>2709</v>
      </c>
      <c r="D497" s="297" t="s">
        <v>2150</v>
      </c>
      <c r="E497" s="297" t="s">
        <v>2710</v>
      </c>
      <c r="F497" s="297" t="s">
        <v>3060</v>
      </c>
      <c r="G497" s="297"/>
      <c r="H497" s="297" t="s">
        <v>3398</v>
      </c>
      <c r="I497" s="297" t="s">
        <v>3139</v>
      </c>
      <c r="J497" s="45" t="str">
        <f t="shared" si="14"/>
        <v>TungstenJiangwu H.C. Starck Tungsten Products Co., Ltd.</v>
      </c>
      <c r="K497" s="45" t="str">
        <f t="shared" si="15"/>
        <v>TungstenJiangwu H.C. Starck Tungsten Products Co., Ltd.</v>
      </c>
      <c r="T497"/>
    </row>
    <row r="498" spans="1:20" ht="10.5" customHeight="1">
      <c r="A498" s="297" t="s">
        <v>2293</v>
      </c>
      <c r="B498" s="297" t="s">
        <v>4251</v>
      </c>
      <c r="C498" s="297" t="s">
        <v>4251</v>
      </c>
      <c r="D498" s="297" t="s">
        <v>2150</v>
      </c>
      <c r="E498" s="297" t="s">
        <v>4252</v>
      </c>
      <c r="F498" s="297" t="s">
        <v>3060</v>
      </c>
      <c r="G498" s="297"/>
      <c r="H498" s="297" t="s">
        <v>4623</v>
      </c>
      <c r="I498" s="297" t="s">
        <v>3139</v>
      </c>
      <c r="J498" s="45" t="str">
        <f t="shared" si="14"/>
        <v>TungstenJiangxi Dayu Longxintai Tungsten Co., Ltd.</v>
      </c>
      <c r="K498" s="45" t="str">
        <f t="shared" si="15"/>
        <v>TungstenJiangxi Dayu Longxintai Tungsten Co., Ltd.</v>
      </c>
      <c r="T498"/>
    </row>
    <row r="499" spans="1:20" ht="10.5" customHeight="1">
      <c r="A499" s="297" t="s">
        <v>2293</v>
      </c>
      <c r="B499" s="297" t="s">
        <v>215</v>
      </c>
      <c r="C499" s="297" t="s">
        <v>215</v>
      </c>
      <c r="D499" s="297" t="s">
        <v>2150</v>
      </c>
      <c r="E499" s="297" t="s">
        <v>196</v>
      </c>
      <c r="F499" s="297" t="s">
        <v>3060</v>
      </c>
      <c r="G499" s="297"/>
      <c r="H499" s="297" t="s">
        <v>3498</v>
      </c>
      <c r="I499" s="297" t="s">
        <v>3139</v>
      </c>
      <c r="J499" s="45" t="str">
        <f t="shared" si="14"/>
        <v>TungstenJiangxi Gan Bei Tungsten Co., Ltd.</v>
      </c>
      <c r="K499" s="45" t="str">
        <f t="shared" si="15"/>
        <v>TungstenJiangxi Gan Bei Tungsten Co., Ltd.</v>
      </c>
      <c r="T499"/>
    </row>
    <row r="500" spans="1:20" ht="10.5" customHeight="1">
      <c r="A500" s="297" t="s">
        <v>2293</v>
      </c>
      <c r="B500" s="297" t="s">
        <v>1439</v>
      </c>
      <c r="C500" s="297" t="s">
        <v>1439</v>
      </c>
      <c r="D500" s="297" t="s">
        <v>2150</v>
      </c>
      <c r="E500" s="297" t="s">
        <v>1401</v>
      </c>
      <c r="F500" s="297" t="s">
        <v>3060</v>
      </c>
      <c r="G500" s="297"/>
      <c r="H500" s="297" t="s">
        <v>3494</v>
      </c>
      <c r="I500" s="297" t="s">
        <v>3139</v>
      </c>
      <c r="J500" s="45" t="str">
        <f t="shared" si="14"/>
        <v>TungstenJiangxi Minmetals Gao'an Non-ferrous Metals Co., Ltd.</v>
      </c>
      <c r="K500" s="45" t="str">
        <f t="shared" si="15"/>
        <v>TungstenJiangxi Minmetals Gao'an Non-ferrous Metals Co., Ltd.</v>
      </c>
      <c r="T500"/>
    </row>
    <row r="501" spans="1:20" ht="10.5" customHeight="1">
      <c r="A501" s="297" t="s">
        <v>2293</v>
      </c>
      <c r="B501" s="297" t="s">
        <v>212</v>
      </c>
      <c r="C501" s="297" t="s">
        <v>212</v>
      </c>
      <c r="D501" s="297" t="s">
        <v>2150</v>
      </c>
      <c r="E501" s="297" t="s">
        <v>201</v>
      </c>
      <c r="F501" s="297" t="s">
        <v>3060</v>
      </c>
      <c r="G501" s="297"/>
      <c r="H501" s="297" t="s">
        <v>3495</v>
      </c>
      <c r="I501" s="297" t="s">
        <v>3139</v>
      </c>
      <c r="J501" s="45" t="str">
        <f t="shared" si="14"/>
        <v>TungstenJiangxi Tonggu Non-ferrous Metallurgical &amp; Chemical Co., Ltd.</v>
      </c>
      <c r="K501" s="45" t="str">
        <f t="shared" si="15"/>
        <v>TungstenJiangxi Tonggu Non-ferrous Metallurgical &amp; Chemical Co., Ltd.</v>
      </c>
      <c r="T501"/>
    </row>
    <row r="502" spans="1:20" ht="10.5" customHeight="1">
      <c r="A502" s="297" t="s">
        <v>2293</v>
      </c>
      <c r="B502" s="297" t="s">
        <v>4203</v>
      </c>
      <c r="C502" s="297" t="s">
        <v>207</v>
      </c>
      <c r="D502" s="297" t="s">
        <v>2150</v>
      </c>
      <c r="E502" s="297" t="s">
        <v>1394</v>
      </c>
      <c r="F502" s="297" t="s">
        <v>3060</v>
      </c>
      <c r="G502" s="297"/>
      <c r="H502" s="297" t="s">
        <v>3398</v>
      </c>
      <c r="I502" s="297" t="s">
        <v>3139</v>
      </c>
      <c r="J502" s="45" t="str">
        <f t="shared" si="14"/>
        <v>TungstenJiangxi Tungsten Co Ltd</v>
      </c>
      <c r="K502" s="45" t="str">
        <f t="shared" si="15"/>
        <v>TungstenJiangxi Tungsten Co Ltd</v>
      </c>
      <c r="T502"/>
    </row>
    <row r="503" spans="1:20" ht="10.5" customHeight="1">
      <c r="A503" s="297" t="s">
        <v>2293</v>
      </c>
      <c r="B503" s="297" t="s">
        <v>3484</v>
      </c>
      <c r="C503" s="297" t="s">
        <v>207</v>
      </c>
      <c r="D503" s="297" t="s">
        <v>2150</v>
      </c>
      <c r="E503" s="297" t="s">
        <v>1394</v>
      </c>
      <c r="F503" s="297" t="s">
        <v>3060</v>
      </c>
      <c r="G503" s="297"/>
      <c r="H503" s="297" t="s">
        <v>3398</v>
      </c>
      <c r="I503" s="297" t="s">
        <v>3139</v>
      </c>
      <c r="J503" s="45" t="str">
        <f t="shared" si="14"/>
        <v>TungstenJiangxi Tungsten Industry Group Co. Ltd.</v>
      </c>
      <c r="K503" s="45" t="str">
        <f t="shared" si="15"/>
        <v>TungstenJiangxi Tungsten Industry Group Co. Ltd.</v>
      </c>
      <c r="T503"/>
    </row>
    <row r="504" spans="1:20" ht="10.5" customHeight="1">
      <c r="A504" s="297" t="s">
        <v>2293</v>
      </c>
      <c r="B504" s="297" t="s">
        <v>211</v>
      </c>
      <c r="C504" s="297" t="s">
        <v>211</v>
      </c>
      <c r="D504" s="297" t="s">
        <v>2150</v>
      </c>
      <c r="E504" s="297" t="s">
        <v>200</v>
      </c>
      <c r="F504" s="297" t="s">
        <v>3060</v>
      </c>
      <c r="G504" s="297"/>
      <c r="H504" s="297" t="s">
        <v>3398</v>
      </c>
      <c r="I504" s="297" t="s">
        <v>3139</v>
      </c>
      <c r="J504" s="45" t="str">
        <f t="shared" si="14"/>
        <v>TungstenJiangxi Xinsheng Tungsten Industry Co., Ltd.</v>
      </c>
      <c r="K504" s="45" t="str">
        <f t="shared" si="15"/>
        <v>TungstenJiangxi Xinsheng Tungsten Industry Co., Ltd.</v>
      </c>
      <c r="T504"/>
    </row>
    <row r="505" spans="1:20" ht="10.5" customHeight="1">
      <c r="A505" s="297" t="s">
        <v>2293</v>
      </c>
      <c r="B505" s="297" t="s">
        <v>2675</v>
      </c>
      <c r="C505" s="297" t="s">
        <v>2675</v>
      </c>
      <c r="D505" s="297" t="s">
        <v>2150</v>
      </c>
      <c r="E505" s="297" t="s">
        <v>2676</v>
      </c>
      <c r="F505" s="297" t="s">
        <v>3060</v>
      </c>
      <c r="G505" s="297"/>
      <c r="H505" s="297" t="s">
        <v>3498</v>
      </c>
      <c r="I505" s="297" t="s">
        <v>3139</v>
      </c>
      <c r="J505" s="45" t="str">
        <f t="shared" si="14"/>
        <v>TungstenJiangxi Xiushui Xianggan Nonferrous Metals Co., Ltd.</v>
      </c>
      <c r="K505" s="45" t="str">
        <f t="shared" si="15"/>
        <v>TungstenJiangxi Xiushui Xianggan Nonferrous Metals Co., Ltd.</v>
      </c>
      <c r="T505"/>
    </row>
    <row r="506" spans="1:20" ht="10.5" customHeight="1">
      <c r="A506" s="297" t="s">
        <v>2293</v>
      </c>
      <c r="B506" s="297" t="s">
        <v>210</v>
      </c>
      <c r="C506" s="297" t="s">
        <v>210</v>
      </c>
      <c r="D506" s="297" t="s">
        <v>2150</v>
      </c>
      <c r="E506" s="297" t="s">
        <v>199</v>
      </c>
      <c r="F506" s="297" t="s">
        <v>3060</v>
      </c>
      <c r="G506" s="297"/>
      <c r="H506" s="297" t="s">
        <v>3398</v>
      </c>
      <c r="I506" s="297" t="s">
        <v>3139</v>
      </c>
      <c r="J506" s="45" t="str">
        <f t="shared" si="14"/>
        <v>TungstenJiangxi Yaosheng Tungsten Co., Ltd.</v>
      </c>
      <c r="K506" s="45" t="str">
        <f t="shared" si="15"/>
        <v>TungstenJiangxi Yaosheng Tungsten Co., Ltd.</v>
      </c>
      <c r="T506"/>
    </row>
    <row r="507" spans="1:20" ht="10.5" customHeight="1">
      <c r="A507" s="297" t="s">
        <v>2293</v>
      </c>
      <c r="B507" s="297" t="s">
        <v>208</v>
      </c>
      <c r="C507" s="297" t="s">
        <v>208</v>
      </c>
      <c r="D507" s="297" t="s">
        <v>4880</v>
      </c>
      <c r="E507" s="297" t="s">
        <v>1395</v>
      </c>
      <c r="F507" s="297" t="s">
        <v>3060</v>
      </c>
      <c r="G507" s="297"/>
      <c r="H507" s="297" t="s">
        <v>3485</v>
      </c>
      <c r="I507" s="297" t="s">
        <v>3362</v>
      </c>
      <c r="J507" s="45" t="str">
        <f t="shared" si="14"/>
        <v>TungstenKennametal Fallon</v>
      </c>
      <c r="K507" s="45" t="str">
        <f t="shared" si="15"/>
        <v>TungstenKennametal Fallon</v>
      </c>
      <c r="T507"/>
    </row>
    <row r="508" spans="1:20" ht="10.5" customHeight="1">
      <c r="A508" s="297" t="s">
        <v>2293</v>
      </c>
      <c r="B508" s="297" t="s">
        <v>206</v>
      </c>
      <c r="C508" s="297" t="s">
        <v>206</v>
      </c>
      <c r="D508" s="297" t="s">
        <v>4880</v>
      </c>
      <c r="E508" s="297" t="s">
        <v>1385</v>
      </c>
      <c r="F508" s="297" t="s">
        <v>3060</v>
      </c>
      <c r="G508" s="297"/>
      <c r="H508" s="297" t="s">
        <v>3477</v>
      </c>
      <c r="I508" s="297" t="s">
        <v>3478</v>
      </c>
      <c r="J508" s="45" t="str">
        <f t="shared" si="14"/>
        <v>TungstenKennametal Huntsville</v>
      </c>
      <c r="K508" s="45" t="str">
        <f t="shared" si="15"/>
        <v>TungstenKennametal Huntsville</v>
      </c>
      <c r="T508"/>
    </row>
    <row r="509" spans="1:20" ht="10.5" customHeight="1">
      <c r="A509" s="297" t="s">
        <v>2293</v>
      </c>
      <c r="B509" s="297" t="s">
        <v>213</v>
      </c>
      <c r="C509" s="297" t="s">
        <v>213</v>
      </c>
      <c r="D509" s="297" t="s">
        <v>2150</v>
      </c>
      <c r="E509" s="297" t="s">
        <v>202</v>
      </c>
      <c r="F509" s="297" t="s">
        <v>3060</v>
      </c>
      <c r="G509" s="297"/>
      <c r="H509" s="297" t="s">
        <v>3496</v>
      </c>
      <c r="I509" s="297" t="s">
        <v>3096</v>
      </c>
      <c r="J509" s="45" t="str">
        <f t="shared" si="14"/>
        <v>TungstenMalipo Haiyu Tungsten Co., Ltd.</v>
      </c>
      <c r="K509" s="45" t="str">
        <f t="shared" si="15"/>
        <v>TungstenMalipo Haiyu Tungsten Co., Ltd.</v>
      </c>
      <c r="T509"/>
    </row>
    <row r="510" spans="1:20" ht="10.5" customHeight="1">
      <c r="A510" s="297" t="s">
        <v>2293</v>
      </c>
      <c r="B510" s="297" t="s">
        <v>4255</v>
      </c>
      <c r="C510" s="297" t="s">
        <v>4255</v>
      </c>
      <c r="D510" s="297" t="s">
        <v>1690</v>
      </c>
      <c r="E510" s="297" t="s">
        <v>4256</v>
      </c>
      <c r="F510" s="297" t="s">
        <v>3060</v>
      </c>
      <c r="G510" s="297"/>
      <c r="H510" s="297" t="s">
        <v>4257</v>
      </c>
      <c r="I510" s="297" t="s">
        <v>3229</v>
      </c>
      <c r="J510" s="45" t="str">
        <f t="shared" si="14"/>
        <v>TungstenMoliren Ltd</v>
      </c>
      <c r="K510" s="45" t="str">
        <f t="shared" si="15"/>
        <v>TungstenMoliren Ltd</v>
      </c>
      <c r="T510"/>
    </row>
    <row r="511" spans="1:20" ht="10.5" customHeight="1">
      <c r="A511" s="297" t="s">
        <v>2293</v>
      </c>
      <c r="B511" s="297" t="s">
        <v>3506</v>
      </c>
      <c r="C511" s="297" t="s">
        <v>3506</v>
      </c>
      <c r="D511" s="297" t="s">
        <v>4880</v>
      </c>
      <c r="E511" s="297" t="s">
        <v>3507</v>
      </c>
      <c r="F511" s="297" t="s">
        <v>3060</v>
      </c>
      <c r="G511" s="297"/>
      <c r="H511" s="297" t="s">
        <v>3508</v>
      </c>
      <c r="I511" s="297" t="s">
        <v>3165</v>
      </c>
      <c r="J511" s="45" t="str">
        <f t="shared" si="14"/>
        <v>TungstenNiagara Refining LLC</v>
      </c>
      <c r="K511" s="45" t="str">
        <f t="shared" si="15"/>
        <v>TungstenNiagara Refining LLC</v>
      </c>
      <c r="T511"/>
    </row>
    <row r="512" spans="1:20" ht="10.5" customHeight="1">
      <c r="A512" s="297" t="s">
        <v>2293</v>
      </c>
      <c r="B512" s="297" t="s">
        <v>2712</v>
      </c>
      <c r="C512" s="297" t="s">
        <v>2712</v>
      </c>
      <c r="D512" s="297" t="s">
        <v>1737</v>
      </c>
      <c r="E512" s="297" t="s">
        <v>2711</v>
      </c>
      <c r="F512" s="297" t="s">
        <v>3060</v>
      </c>
      <c r="G512" s="297"/>
      <c r="H512" s="297" t="s">
        <v>3502</v>
      </c>
      <c r="I512" s="297" t="s">
        <v>3503</v>
      </c>
      <c r="J512" s="45" t="str">
        <f t="shared" si="14"/>
        <v>TungstenNui Phao H.C. Starck Tungsten Chemicals Manufacturing LLC</v>
      </c>
      <c r="K512" s="45" t="str">
        <f t="shared" si="15"/>
        <v>TungstenNui Phao H.C. Starck Tungsten Chemicals Manufacturing LLC</v>
      </c>
      <c r="T512"/>
    </row>
    <row r="513" spans="1:20" ht="10.5" customHeight="1">
      <c r="A513" s="297" t="s">
        <v>2293</v>
      </c>
      <c r="B513" s="297" t="s">
        <v>4624</v>
      </c>
      <c r="C513" s="297" t="s">
        <v>4624</v>
      </c>
      <c r="D513" s="297" t="s">
        <v>1679</v>
      </c>
      <c r="E513" s="297" t="s">
        <v>4258</v>
      </c>
      <c r="F513" s="297" t="s">
        <v>3060</v>
      </c>
      <c r="G513" s="297"/>
      <c r="H513" s="297" t="s">
        <v>4259</v>
      </c>
      <c r="I513" s="297" t="s">
        <v>4260</v>
      </c>
      <c r="J513" s="45" t="str">
        <f t="shared" si="14"/>
        <v>TungstenPhilippine Chuangxin Industrial Co., Inc.</v>
      </c>
      <c r="K513" s="45" t="str">
        <f t="shared" si="15"/>
        <v>TungstenPhilippine Chuangxin Industrial Co., Inc.</v>
      </c>
      <c r="T513"/>
    </row>
    <row r="514" spans="1:20" ht="10.5" customHeight="1">
      <c r="A514" s="297" t="s">
        <v>2293</v>
      </c>
      <c r="B514" s="297" t="s">
        <v>3493</v>
      </c>
      <c r="C514" s="297" t="s">
        <v>1440</v>
      </c>
      <c r="D514" s="297" t="s">
        <v>2150</v>
      </c>
      <c r="E514" s="297" t="s">
        <v>1400</v>
      </c>
      <c r="F514" s="297" t="s">
        <v>3060</v>
      </c>
      <c r="G514" s="297"/>
      <c r="H514" s="297" t="s">
        <v>3492</v>
      </c>
      <c r="I514" s="297" t="s">
        <v>3270</v>
      </c>
      <c r="J514" s="45" t="str">
        <f t="shared" si="14"/>
        <v>TungstenShaoguan Xinhai Rendan Tungsten Industry Co. Ltd</v>
      </c>
      <c r="K514" s="45" t="str">
        <f t="shared" si="15"/>
        <v>TungstenShaoguan Xinhai Rendan Tungsten Industry Co. Ltd</v>
      </c>
      <c r="T514"/>
    </row>
    <row r="515" spans="1:20" ht="10.5" customHeight="1">
      <c r="A515" s="297" t="s">
        <v>2293</v>
      </c>
      <c r="B515" s="297" t="s">
        <v>4261</v>
      </c>
      <c r="C515" s="297" t="s">
        <v>4261</v>
      </c>
      <c r="D515" s="297" t="s">
        <v>2150</v>
      </c>
      <c r="E515" s="297" t="s">
        <v>4262</v>
      </c>
      <c r="F515" s="297" t="s">
        <v>3060</v>
      </c>
      <c r="G515" s="297"/>
      <c r="H515" s="297" t="s">
        <v>3338</v>
      </c>
      <c r="I515" s="297" t="s">
        <v>3121</v>
      </c>
      <c r="J515" s="45" t="str">
        <f t="shared" si="14"/>
        <v>TungstenSouth-East Nonferrous Metal Company Limited of Hengyang City</v>
      </c>
      <c r="K515" s="45" t="str">
        <f t="shared" si="15"/>
        <v>TungstenSouth-East Nonferrous Metal Company Limited of Hengyang City</v>
      </c>
      <c r="T515"/>
    </row>
    <row r="516" spans="1:20" ht="10.5" customHeight="1">
      <c r="A516" s="297" t="s">
        <v>2293</v>
      </c>
      <c r="B516" s="297" t="s">
        <v>2</v>
      </c>
      <c r="C516" s="297" t="s">
        <v>2</v>
      </c>
      <c r="D516" s="297" t="s">
        <v>1737</v>
      </c>
      <c r="E516" s="297" t="s">
        <v>1396</v>
      </c>
      <c r="F516" s="297" t="s">
        <v>3060</v>
      </c>
      <c r="G516" s="297"/>
      <c r="H516" s="297" t="s">
        <v>3486</v>
      </c>
      <c r="I516" s="297" t="s">
        <v>4029</v>
      </c>
      <c r="J516" s="45" t="str">
        <f t="shared" si="14"/>
        <v>TungstenTejing (Vietnam) Tungsten Co., Ltd.</v>
      </c>
      <c r="K516" s="45" t="str">
        <f t="shared" si="15"/>
        <v>TungstenTejing (Vietnam) Tungsten Co., Ltd.</v>
      </c>
      <c r="T516"/>
    </row>
    <row r="517" spans="1:20" ht="10.5" customHeight="1">
      <c r="A517" s="297" t="s">
        <v>2293</v>
      </c>
      <c r="B517" s="297" t="s">
        <v>4915</v>
      </c>
      <c r="C517" s="297" t="s">
        <v>4915</v>
      </c>
      <c r="D517" s="297" t="s">
        <v>1690</v>
      </c>
      <c r="E517" s="297" t="s">
        <v>4916</v>
      </c>
      <c r="F517" s="297" t="s">
        <v>3060</v>
      </c>
      <c r="G517" s="297"/>
      <c r="H517" s="297" t="s">
        <v>4923</v>
      </c>
      <c r="I517" s="297" t="s">
        <v>4924</v>
      </c>
      <c r="J517" s="45" t="str">
        <f t="shared" si="14"/>
        <v>TungstenUnecha Refractory metals plant</v>
      </c>
      <c r="K517" s="45" t="str">
        <f t="shared" si="15"/>
        <v>TungstenUnecha Refractory metals plant</v>
      </c>
      <c r="T517"/>
    </row>
    <row r="518" spans="1:20" ht="10.5" customHeight="1">
      <c r="A518" s="297" t="s">
        <v>2293</v>
      </c>
      <c r="B518" s="297" t="s">
        <v>4066</v>
      </c>
      <c r="C518" s="297" t="s">
        <v>4066</v>
      </c>
      <c r="D518" s="297" t="s">
        <v>1737</v>
      </c>
      <c r="E518" s="297" t="s">
        <v>2542</v>
      </c>
      <c r="F518" s="297" t="s">
        <v>3060</v>
      </c>
      <c r="G518" s="297"/>
      <c r="H518" s="297" t="s">
        <v>3486</v>
      </c>
      <c r="I518" s="297" t="s">
        <v>3487</v>
      </c>
      <c r="J518" s="45" t="str">
        <f t="shared" si="14"/>
        <v>TungstenVietnam Youngsun Tungsten Industry Co., Ltd.</v>
      </c>
      <c r="K518" s="45" t="str">
        <f t="shared" si="15"/>
        <v>TungstenVietnam Youngsun Tungsten Industry Co., Ltd.</v>
      </c>
      <c r="T518"/>
    </row>
    <row r="519" spans="1:20" ht="10.5" customHeight="1">
      <c r="A519" s="297" t="s">
        <v>2293</v>
      </c>
      <c r="B519" s="297" t="s">
        <v>3490</v>
      </c>
      <c r="C519" s="297" t="s">
        <v>1756</v>
      </c>
      <c r="D519" s="297" t="s">
        <v>2125</v>
      </c>
      <c r="E519" s="297" t="s">
        <v>1397</v>
      </c>
      <c r="F519" s="297" t="s">
        <v>3060</v>
      </c>
      <c r="G519" s="297"/>
      <c r="H519" s="297" t="s">
        <v>3488</v>
      </c>
      <c r="I519" s="297" t="s">
        <v>3346</v>
      </c>
      <c r="J519" s="45" t="str">
        <f t="shared" si="14"/>
        <v>TungstenWBH</v>
      </c>
      <c r="K519" s="45" t="str">
        <f t="shared" si="15"/>
        <v>TungstenWBH</v>
      </c>
      <c r="T519"/>
    </row>
    <row r="520" spans="1:20" ht="10.5" customHeight="1">
      <c r="A520" s="297" t="s">
        <v>2293</v>
      </c>
      <c r="B520" s="297" t="s">
        <v>3489</v>
      </c>
      <c r="C520" s="297" t="s">
        <v>1756</v>
      </c>
      <c r="D520" s="297" t="s">
        <v>2125</v>
      </c>
      <c r="E520" s="297" t="s">
        <v>1397</v>
      </c>
      <c r="F520" s="297" t="s">
        <v>3060</v>
      </c>
      <c r="G520" s="297"/>
      <c r="H520" s="297" t="s">
        <v>3488</v>
      </c>
      <c r="I520" s="297" t="s">
        <v>3346</v>
      </c>
      <c r="J520" s="45" t="str">
        <f t="shared" si="14"/>
        <v>TungstenWBH,Wolfram [Austria]</v>
      </c>
      <c r="K520" s="45" t="str">
        <f t="shared" si="15"/>
        <v>TungstenWBH,Wolfram [Austria]</v>
      </c>
      <c r="T520"/>
    </row>
    <row r="521" spans="1:20" ht="10.5" customHeight="1">
      <c r="A521" s="297" t="s">
        <v>2293</v>
      </c>
      <c r="B521" s="297" t="s">
        <v>1756</v>
      </c>
      <c r="C521" s="297" t="s">
        <v>1756</v>
      </c>
      <c r="D521" s="297" t="s">
        <v>2125</v>
      </c>
      <c r="E521" s="297" t="s">
        <v>1397</v>
      </c>
      <c r="F521" s="297" t="s">
        <v>3060</v>
      </c>
      <c r="G521" s="297"/>
      <c r="H521" s="297" t="s">
        <v>3488</v>
      </c>
      <c r="I521" s="297" t="s">
        <v>3346</v>
      </c>
      <c r="J521" s="45" t="str">
        <f t="shared" si="14"/>
        <v>TungstenWolfram Bergbau und Hütten AG</v>
      </c>
      <c r="K521" s="45" t="str">
        <f t="shared" si="15"/>
        <v>TungstenWolfram Bergbau und Hütten AG</v>
      </c>
      <c r="T521"/>
    </row>
    <row r="522" spans="1:20" ht="10.5" customHeight="1">
      <c r="A522" s="297" t="s">
        <v>2293</v>
      </c>
      <c r="B522" s="297" t="s">
        <v>4263</v>
      </c>
      <c r="C522" s="297" t="s">
        <v>4263</v>
      </c>
      <c r="D522" s="297" t="s">
        <v>4876</v>
      </c>
      <c r="E522" s="297" t="s">
        <v>4264</v>
      </c>
      <c r="F522" s="297" t="s">
        <v>3060</v>
      </c>
      <c r="G522" s="297"/>
      <c r="H522" s="297" t="s">
        <v>4265</v>
      </c>
      <c r="I522" s="297" t="s">
        <v>4266</v>
      </c>
      <c r="J522" s="45" t="str">
        <f t="shared" si="14"/>
        <v>TungstenWoltech Korea Co., Ltd.</v>
      </c>
      <c r="K522" s="45" t="str">
        <f t="shared" si="15"/>
        <v>TungstenWoltech Korea Co., Ltd.</v>
      </c>
      <c r="T522"/>
    </row>
    <row r="523" spans="1:20" ht="10.5" customHeight="1">
      <c r="A523" s="297" t="s">
        <v>2293</v>
      </c>
      <c r="B523" s="297" t="s">
        <v>3497</v>
      </c>
      <c r="C523" s="297" t="s">
        <v>214</v>
      </c>
      <c r="D523" s="297" t="s">
        <v>2150</v>
      </c>
      <c r="E523" s="297" t="s">
        <v>203</v>
      </c>
      <c r="F523" s="297" t="s">
        <v>3060</v>
      </c>
      <c r="G523" s="297"/>
      <c r="H523" s="297" t="s">
        <v>3491</v>
      </c>
      <c r="I523" s="297" t="s">
        <v>3267</v>
      </c>
      <c r="J523" s="45" t="str">
        <f t="shared" si="14"/>
        <v>TungstenXiamen H.C.</v>
      </c>
      <c r="K523" s="45" t="str">
        <f t="shared" si="15"/>
        <v>TungstenXiamen H.C.</v>
      </c>
      <c r="T523"/>
    </row>
    <row r="524" spans="1:20" ht="10.5" customHeight="1">
      <c r="A524" s="297" t="s">
        <v>2293</v>
      </c>
      <c r="B524" s="297" t="s">
        <v>214</v>
      </c>
      <c r="C524" s="297" t="s">
        <v>214</v>
      </c>
      <c r="D524" s="297" t="s">
        <v>2150</v>
      </c>
      <c r="E524" s="297" t="s">
        <v>203</v>
      </c>
      <c r="F524" s="297" t="s">
        <v>3060</v>
      </c>
      <c r="G524" s="297"/>
      <c r="H524" s="297" t="s">
        <v>3491</v>
      </c>
      <c r="I524" s="297" t="s">
        <v>3267</v>
      </c>
      <c r="J524" s="45" t="str">
        <f t="shared" ref="J524:J544" si="16">A524&amp;B524</f>
        <v>TungstenXiamen Tungsten (H.C.) Co., Ltd.</v>
      </c>
      <c r="K524" s="45" t="str">
        <f t="shared" ref="K524:K544" si="17">A524&amp;B524</f>
        <v>TungstenXiamen Tungsten (H.C.) Co., Ltd.</v>
      </c>
      <c r="T524"/>
    </row>
    <row r="525" spans="1:20" ht="10.5" customHeight="1">
      <c r="A525" s="297" t="s">
        <v>2293</v>
      </c>
      <c r="B525" s="297" t="s">
        <v>2627</v>
      </c>
      <c r="C525" s="297" t="s">
        <v>2627</v>
      </c>
      <c r="D525" s="297" t="s">
        <v>2150</v>
      </c>
      <c r="E525" s="297" t="s">
        <v>1398</v>
      </c>
      <c r="F525" s="297" t="s">
        <v>3060</v>
      </c>
      <c r="G525" s="297"/>
      <c r="H525" s="297" t="s">
        <v>3491</v>
      </c>
      <c r="I525" s="297" t="s">
        <v>3267</v>
      </c>
      <c r="J525" s="45" t="str">
        <f t="shared" si="16"/>
        <v>TungstenXiamen Tungsten Co., Ltd.</v>
      </c>
      <c r="K525" s="45" t="str">
        <f t="shared" si="17"/>
        <v>TungstenXiamen Tungsten Co., Ltd.</v>
      </c>
      <c r="T525"/>
    </row>
    <row r="526" spans="1:20" ht="10.5" customHeight="1">
      <c r="A526" s="297" t="s">
        <v>2293</v>
      </c>
      <c r="B526" s="297" t="s">
        <v>4267</v>
      </c>
      <c r="C526" s="297" t="s">
        <v>4267</v>
      </c>
      <c r="D526" s="297" t="s">
        <v>2150</v>
      </c>
      <c r="E526" s="297" t="s">
        <v>4268</v>
      </c>
      <c r="F526" s="297" t="s">
        <v>3060</v>
      </c>
      <c r="G526" s="297"/>
      <c r="H526" s="297" t="s">
        <v>3398</v>
      </c>
      <c r="I526" s="297" t="s">
        <v>3139</v>
      </c>
      <c r="J526" s="45" t="str">
        <f t="shared" si="16"/>
        <v>TungstenXinfeng Huarui Tungsten &amp; Molybdenum New Material Co., Ltd.</v>
      </c>
      <c r="K526" s="45" t="str">
        <f t="shared" si="17"/>
        <v>TungstenXinfeng Huarui Tungsten &amp; Molybdenum New Material Co., Ltd.</v>
      </c>
      <c r="T526"/>
    </row>
    <row r="527" spans="1:20" ht="10.5" customHeight="1">
      <c r="A527" s="297" t="s">
        <v>2293</v>
      </c>
      <c r="B527" s="297" t="s">
        <v>1440</v>
      </c>
      <c r="C527" s="297" t="s">
        <v>1440</v>
      </c>
      <c r="D527" s="297" t="s">
        <v>2150</v>
      </c>
      <c r="E527" s="297" t="s">
        <v>1400</v>
      </c>
      <c r="F527" s="297" t="s">
        <v>3060</v>
      </c>
      <c r="G527" s="297"/>
      <c r="H527" s="297" t="s">
        <v>3492</v>
      </c>
      <c r="I527" s="297" t="s">
        <v>3270</v>
      </c>
      <c r="J527" s="45" t="str">
        <f t="shared" si="16"/>
        <v>TungstenXinhai Rendan Shaoguan Tungsten Co., Ltd.</v>
      </c>
      <c r="K527" s="45" t="str">
        <f t="shared" si="17"/>
        <v>TungstenXinhai Rendan Shaoguan Tungsten Co., Ltd.</v>
      </c>
      <c r="T527"/>
    </row>
    <row r="528" spans="1:20" ht="10.5" customHeight="1">
      <c r="A528" s="297" t="s">
        <v>2293</v>
      </c>
      <c r="B528" s="297" t="s">
        <v>3480</v>
      </c>
      <c r="C528" s="297" t="s">
        <v>2623</v>
      </c>
      <c r="D528" s="297" t="s">
        <v>2150</v>
      </c>
      <c r="E528" s="297" t="s">
        <v>1387</v>
      </c>
      <c r="F528" s="297" t="s">
        <v>3060</v>
      </c>
      <c r="G528" s="297"/>
      <c r="H528" s="297" t="s">
        <v>3398</v>
      </c>
      <c r="I528" s="297" t="s">
        <v>3139</v>
      </c>
      <c r="J528" s="45" t="str">
        <f t="shared" si="16"/>
        <v>TungstenZhangyuan Tungsten Co Ltd</v>
      </c>
      <c r="K528" s="45" t="str">
        <f t="shared" si="17"/>
        <v>TungstenZhangyuan Tungsten Co Ltd</v>
      </c>
      <c r="T528"/>
    </row>
    <row r="529" spans="1:20" ht="10.5" customHeight="1">
      <c r="A529" s="243" t="s">
        <v>2293</v>
      </c>
      <c r="B529" s="243" t="s">
        <v>3493</v>
      </c>
      <c r="C529" s="243" t="s">
        <v>1440</v>
      </c>
      <c r="D529" s="243" t="s">
        <v>2150</v>
      </c>
      <c r="E529" s="243" t="s">
        <v>1400</v>
      </c>
      <c r="F529" s="243" t="s">
        <v>3060</v>
      </c>
      <c r="G529" s="243"/>
      <c r="H529" s="243" t="s">
        <v>3492</v>
      </c>
      <c r="I529" s="243" t="s">
        <v>3270</v>
      </c>
      <c r="J529" s="45" t="str">
        <f t="shared" si="16"/>
        <v>TungstenShaoguan Xinhai Rendan Tungsten Industry Co. Ltd</v>
      </c>
      <c r="K529" s="45" t="str">
        <f t="shared" si="17"/>
        <v>TungstenShaoguan Xinhai Rendan Tungsten Industry Co. Ltd</v>
      </c>
      <c r="T529"/>
    </row>
    <row r="530" spans="1:20" ht="10.5" customHeight="1">
      <c r="A530" s="243" t="s">
        <v>2293</v>
      </c>
      <c r="B530" s="243" t="s">
        <v>4261</v>
      </c>
      <c r="C530" s="243" t="s">
        <v>4261</v>
      </c>
      <c r="D530" s="243" t="s">
        <v>2150</v>
      </c>
      <c r="E530" s="243" t="s">
        <v>4262</v>
      </c>
      <c r="F530" s="243" t="s">
        <v>3060</v>
      </c>
      <c r="G530" s="243"/>
      <c r="H530" s="243" t="s">
        <v>3338</v>
      </c>
      <c r="I530" s="243" t="s">
        <v>3121</v>
      </c>
      <c r="J530" s="45" t="str">
        <f t="shared" si="16"/>
        <v>TungstenSouth-East Nonferrous Metal Company Limited of Hengyang City</v>
      </c>
      <c r="K530" s="45" t="str">
        <f t="shared" si="17"/>
        <v>TungstenSouth-East Nonferrous Metal Company Limited of Hengyang City</v>
      </c>
      <c r="T530"/>
    </row>
    <row r="531" spans="1:20" ht="10.5" customHeight="1">
      <c r="A531" s="243" t="s">
        <v>2293</v>
      </c>
      <c r="B531" s="243" t="s">
        <v>2</v>
      </c>
      <c r="C531" s="243" t="s">
        <v>2</v>
      </c>
      <c r="D531" s="243" t="s">
        <v>1737</v>
      </c>
      <c r="E531" s="243" t="s">
        <v>1396</v>
      </c>
      <c r="F531" s="243" t="s">
        <v>3060</v>
      </c>
      <c r="G531" s="243"/>
      <c r="H531" s="243" t="s">
        <v>3486</v>
      </c>
      <c r="I531" s="243" t="s">
        <v>4029</v>
      </c>
      <c r="J531" s="45" t="str">
        <f t="shared" si="16"/>
        <v>TungstenTejing (Vietnam) Tungsten Co., Ltd.</v>
      </c>
      <c r="K531" s="45" t="str">
        <f t="shared" si="17"/>
        <v>TungstenTejing (Vietnam) Tungsten Co., Ltd.</v>
      </c>
      <c r="T531"/>
    </row>
    <row r="532" spans="1:20" ht="10.5" customHeight="1">
      <c r="A532" s="243" t="s">
        <v>2293</v>
      </c>
      <c r="B532" s="243" t="s">
        <v>4066</v>
      </c>
      <c r="C532" s="243" t="s">
        <v>4066</v>
      </c>
      <c r="D532" s="243" t="s">
        <v>1737</v>
      </c>
      <c r="E532" s="243" t="s">
        <v>2542</v>
      </c>
      <c r="F532" s="243" t="s">
        <v>3060</v>
      </c>
      <c r="G532" s="243"/>
      <c r="H532" s="243" t="s">
        <v>3486</v>
      </c>
      <c r="I532" s="243" t="s">
        <v>3487</v>
      </c>
      <c r="J532" s="45" t="str">
        <f t="shared" si="16"/>
        <v>TungstenVietnam Youngsun Tungsten Industry Co., Ltd.</v>
      </c>
      <c r="K532" s="45" t="str">
        <f t="shared" si="17"/>
        <v>TungstenVietnam Youngsun Tungsten Industry Co., Ltd.</v>
      </c>
      <c r="T532"/>
    </row>
    <row r="533" spans="1:20" ht="10.5" customHeight="1">
      <c r="A533" s="243" t="s">
        <v>2293</v>
      </c>
      <c r="B533" s="243" t="s">
        <v>3490</v>
      </c>
      <c r="C533" s="243" t="s">
        <v>1756</v>
      </c>
      <c r="D533" s="243" t="s">
        <v>2125</v>
      </c>
      <c r="E533" s="243" t="s">
        <v>1397</v>
      </c>
      <c r="F533" s="243" t="s">
        <v>3060</v>
      </c>
      <c r="G533" s="243"/>
      <c r="H533" s="243" t="s">
        <v>3488</v>
      </c>
      <c r="I533" s="243" t="s">
        <v>3346</v>
      </c>
      <c r="J533" s="45" t="str">
        <f t="shared" si="16"/>
        <v>TungstenWBH</v>
      </c>
      <c r="K533" s="45" t="str">
        <f t="shared" si="17"/>
        <v>TungstenWBH</v>
      </c>
      <c r="T533"/>
    </row>
    <row r="534" spans="1:20" ht="10.5" customHeight="1">
      <c r="A534" s="243" t="s">
        <v>2293</v>
      </c>
      <c r="B534" s="243" t="s">
        <v>3489</v>
      </c>
      <c r="C534" s="243" t="s">
        <v>1756</v>
      </c>
      <c r="D534" s="243" t="s">
        <v>2125</v>
      </c>
      <c r="E534" s="243" t="s">
        <v>1397</v>
      </c>
      <c r="F534" s="243" t="s">
        <v>3060</v>
      </c>
      <c r="G534" s="243"/>
      <c r="H534" s="243" t="s">
        <v>3488</v>
      </c>
      <c r="I534" s="243" t="s">
        <v>3346</v>
      </c>
      <c r="J534" s="45" t="str">
        <f t="shared" si="16"/>
        <v>TungstenWBH,Wolfram [Austria]</v>
      </c>
      <c r="K534" s="45" t="str">
        <f t="shared" si="17"/>
        <v>TungstenWBH,Wolfram [Austria]</v>
      </c>
      <c r="T534"/>
    </row>
    <row r="535" spans="1:20" ht="10.5" customHeight="1">
      <c r="A535" s="243" t="s">
        <v>2293</v>
      </c>
      <c r="B535" s="243" t="s">
        <v>1756</v>
      </c>
      <c r="C535" s="243" t="s">
        <v>1756</v>
      </c>
      <c r="D535" s="243" t="s">
        <v>2125</v>
      </c>
      <c r="E535" s="243" t="s">
        <v>1397</v>
      </c>
      <c r="F535" s="243" t="s">
        <v>3060</v>
      </c>
      <c r="G535" s="243"/>
      <c r="H535" s="243" t="s">
        <v>3488</v>
      </c>
      <c r="I535" s="243" t="s">
        <v>3346</v>
      </c>
      <c r="J535" s="45" t="str">
        <f t="shared" si="16"/>
        <v>TungstenWolfram Bergbau und Hütten AG</v>
      </c>
      <c r="K535" s="45" t="str">
        <f t="shared" si="17"/>
        <v>TungstenWolfram Bergbau und Hütten AG</v>
      </c>
      <c r="T535"/>
    </row>
    <row r="536" spans="1:20" ht="10.5" customHeight="1">
      <c r="A536" s="243" t="s">
        <v>2293</v>
      </c>
      <c r="B536" s="243" t="s">
        <v>4263</v>
      </c>
      <c r="C536" s="243" t="s">
        <v>4263</v>
      </c>
      <c r="D536" s="243" t="s">
        <v>2224</v>
      </c>
      <c r="E536" s="243" t="s">
        <v>4264</v>
      </c>
      <c r="F536" s="243" t="s">
        <v>3060</v>
      </c>
      <c r="G536" s="243"/>
      <c r="H536" s="243" t="s">
        <v>4265</v>
      </c>
      <c r="I536" s="243" t="s">
        <v>4266</v>
      </c>
      <c r="J536" s="45" t="str">
        <f t="shared" si="16"/>
        <v>TungstenWoltech Korea Co., Ltd.</v>
      </c>
      <c r="K536" s="45" t="str">
        <f t="shared" si="17"/>
        <v>TungstenWoltech Korea Co., Ltd.</v>
      </c>
      <c r="T536"/>
    </row>
    <row r="537" spans="1:20" ht="10.5" customHeight="1">
      <c r="A537" s="243" t="s">
        <v>2293</v>
      </c>
      <c r="B537" s="243" t="s">
        <v>3497</v>
      </c>
      <c r="C537" s="243" t="s">
        <v>214</v>
      </c>
      <c r="D537" s="243" t="s">
        <v>2150</v>
      </c>
      <c r="E537" s="243" t="s">
        <v>203</v>
      </c>
      <c r="F537" s="243" t="s">
        <v>3060</v>
      </c>
      <c r="G537" s="243"/>
      <c r="H537" s="243" t="s">
        <v>3491</v>
      </c>
      <c r="I537" s="243" t="s">
        <v>3267</v>
      </c>
      <c r="J537" s="45" t="str">
        <f t="shared" si="16"/>
        <v>TungstenXiamen H.C.</v>
      </c>
      <c r="K537" s="45" t="str">
        <f t="shared" si="17"/>
        <v>TungstenXiamen H.C.</v>
      </c>
      <c r="T537"/>
    </row>
    <row r="538" spans="1:20" ht="10.5" customHeight="1">
      <c r="A538" s="243" t="s">
        <v>2293</v>
      </c>
      <c r="B538" s="243" t="s">
        <v>214</v>
      </c>
      <c r="C538" s="243" t="s">
        <v>214</v>
      </c>
      <c r="D538" s="243" t="s">
        <v>2150</v>
      </c>
      <c r="E538" s="243" t="s">
        <v>203</v>
      </c>
      <c r="F538" s="243" t="s">
        <v>3060</v>
      </c>
      <c r="G538" s="243"/>
      <c r="H538" s="243" t="s">
        <v>3491</v>
      </c>
      <c r="I538" s="243" t="s">
        <v>3267</v>
      </c>
      <c r="J538" s="45" t="str">
        <f t="shared" si="16"/>
        <v>TungstenXiamen Tungsten (H.C.) Co., Ltd.</v>
      </c>
      <c r="K538" s="45" t="str">
        <f t="shared" si="17"/>
        <v>TungstenXiamen Tungsten (H.C.) Co., Ltd.</v>
      </c>
      <c r="T538"/>
    </row>
    <row r="539" spans="1:20" ht="10.5" customHeight="1">
      <c r="A539" s="243" t="s">
        <v>2293</v>
      </c>
      <c r="B539" s="243" t="s">
        <v>2627</v>
      </c>
      <c r="C539" s="243" t="s">
        <v>2627</v>
      </c>
      <c r="D539" s="243" t="s">
        <v>2150</v>
      </c>
      <c r="E539" s="243" t="s">
        <v>1398</v>
      </c>
      <c r="F539" s="243" t="s">
        <v>3060</v>
      </c>
      <c r="G539" s="243"/>
      <c r="H539" s="243" t="s">
        <v>3491</v>
      </c>
      <c r="I539" s="243" t="s">
        <v>3267</v>
      </c>
      <c r="J539" s="45" t="str">
        <f t="shared" si="16"/>
        <v>TungstenXiamen Tungsten Co., Ltd.</v>
      </c>
      <c r="K539" s="45" t="str">
        <f t="shared" si="17"/>
        <v>TungstenXiamen Tungsten Co., Ltd.</v>
      </c>
      <c r="T539"/>
    </row>
    <row r="540" spans="1:20" ht="10.5" customHeight="1">
      <c r="A540" s="243" t="s">
        <v>2293</v>
      </c>
      <c r="B540" s="243" t="s">
        <v>4267</v>
      </c>
      <c r="C540" s="243" t="s">
        <v>4267</v>
      </c>
      <c r="D540" s="243" t="s">
        <v>2150</v>
      </c>
      <c r="E540" s="243" t="s">
        <v>4268</v>
      </c>
      <c r="F540" s="243" t="s">
        <v>3060</v>
      </c>
      <c r="G540" s="243"/>
      <c r="H540" s="243" t="s">
        <v>3398</v>
      </c>
      <c r="I540" s="243" t="s">
        <v>3139</v>
      </c>
      <c r="J540" s="45" t="str">
        <f t="shared" si="16"/>
        <v>TungstenXinfeng Huarui Tungsten &amp; Molybdenum New Material Co., Ltd.</v>
      </c>
      <c r="K540" s="45" t="str">
        <f t="shared" si="17"/>
        <v>TungstenXinfeng Huarui Tungsten &amp; Molybdenum New Material Co., Ltd.</v>
      </c>
      <c r="T540"/>
    </row>
    <row r="541" spans="1:20" ht="10.5" customHeight="1">
      <c r="A541" s="243" t="s">
        <v>2293</v>
      </c>
      <c r="B541" s="243" t="s">
        <v>1440</v>
      </c>
      <c r="C541" s="243" t="s">
        <v>1440</v>
      </c>
      <c r="D541" s="243" t="s">
        <v>2150</v>
      </c>
      <c r="E541" s="243" t="s">
        <v>1400</v>
      </c>
      <c r="F541" s="243" t="s">
        <v>3060</v>
      </c>
      <c r="G541" s="243"/>
      <c r="H541" s="243" t="s">
        <v>3492</v>
      </c>
      <c r="I541" s="243" t="s">
        <v>3270</v>
      </c>
      <c r="J541" s="45" t="str">
        <f t="shared" si="16"/>
        <v>TungstenXinhai Rendan Shaoguan Tungsten Co., Ltd.</v>
      </c>
      <c r="K541" s="45" t="str">
        <f t="shared" si="17"/>
        <v>TungstenXinhai Rendan Shaoguan Tungsten Co., Ltd.</v>
      </c>
      <c r="T541"/>
    </row>
    <row r="542" spans="1:20" ht="10.5" customHeight="1">
      <c r="A542" s="243" t="s">
        <v>2293</v>
      </c>
      <c r="B542" s="243" t="s">
        <v>3480</v>
      </c>
      <c r="C542" s="243" t="s">
        <v>2623</v>
      </c>
      <c r="D542" s="243" t="s">
        <v>2150</v>
      </c>
      <c r="E542" s="243" t="s">
        <v>1387</v>
      </c>
      <c r="F542" s="243" t="s">
        <v>3060</v>
      </c>
      <c r="G542" s="243"/>
      <c r="H542" s="243" t="s">
        <v>3398</v>
      </c>
      <c r="I542" s="243" t="s">
        <v>3139</v>
      </c>
      <c r="J542" s="45" t="str">
        <f t="shared" si="16"/>
        <v>TungstenZhangyuan Tungsten Co Ltd</v>
      </c>
      <c r="K542" s="45" t="str">
        <f t="shared" si="17"/>
        <v>TungstenZhangyuan Tungsten Co Ltd</v>
      </c>
      <c r="T542"/>
    </row>
    <row r="543" spans="1:20" ht="10.5" customHeight="1">
      <c r="A543" s="243" t="s">
        <v>2293</v>
      </c>
      <c r="B543" s="243" t="s">
        <v>3517</v>
      </c>
      <c r="C543" s="243"/>
      <c r="D543" s="243"/>
      <c r="E543" s="243"/>
      <c r="F543" s="243"/>
      <c r="G543" s="243"/>
      <c r="H543" s="243"/>
      <c r="I543" s="243"/>
      <c r="J543" s="45" t="str">
        <f t="shared" si="16"/>
        <v>TungstenSmelter not listed</v>
      </c>
      <c r="K543" s="45" t="str">
        <f t="shared" si="17"/>
        <v>TungstenSmelter not listed</v>
      </c>
    </row>
    <row r="544" spans="1:20" ht="10.5" customHeight="1">
      <c r="A544" s="243" t="s">
        <v>2293</v>
      </c>
      <c r="B544" s="243" t="s">
        <v>2538</v>
      </c>
      <c r="C544" s="243" t="s">
        <v>906</v>
      </c>
      <c r="D544" s="243" t="s">
        <v>906</v>
      </c>
      <c r="E544" s="243"/>
      <c r="F544" s="243"/>
      <c r="G544" s="243"/>
      <c r="H544" s="243"/>
      <c r="I544" s="243"/>
      <c r="J544" s="45" t="str">
        <f t="shared" si="16"/>
        <v>TungstenSmelter not yet identified</v>
      </c>
      <c r="K544" s="45" t="str">
        <f t="shared" si="17"/>
        <v>TungstenSmelter not yet identified</v>
      </c>
    </row>
  </sheetData>
  <sheetProtection password="E985" sheet="1" formatRows="0"/>
  <mergeCells count="2">
    <mergeCell ref="A1:G1"/>
    <mergeCell ref="A2:I3"/>
  </mergeCells>
  <phoneticPr fontId="31"/>
  <conditionalFormatting sqref="K227:K242 K296:K303 K463 K306:K307 K466:K532 K310:K460 K245:K293 K5:K224">
    <cfRule type="cellIs" dxfId="9" priority="10" stopIfTrue="1" operator="equal">
      <formula>"Yes"</formula>
    </cfRule>
  </conditionalFormatting>
  <conditionalFormatting sqref="K225:K226">
    <cfRule type="cellIs" dxfId="8" priority="9" stopIfTrue="1" operator="equal">
      <formula>"Yes"</formula>
    </cfRule>
  </conditionalFormatting>
  <conditionalFormatting sqref="K294:K295">
    <cfRule type="cellIs" dxfId="7" priority="8" stopIfTrue="1" operator="equal">
      <formula>"Yes"</formula>
    </cfRule>
  </conditionalFormatting>
  <conditionalFormatting sqref="K461:K462">
    <cfRule type="cellIs" dxfId="6" priority="7" stopIfTrue="1" operator="equal">
      <formula>"Yes"</formula>
    </cfRule>
  </conditionalFormatting>
  <conditionalFormatting sqref="K533">
    <cfRule type="cellIs" dxfId="5" priority="6" stopIfTrue="1" operator="equal">
      <formula>"Yes"</formula>
    </cfRule>
  </conditionalFormatting>
  <conditionalFormatting sqref="K304:K305">
    <cfRule type="cellIs" dxfId="4" priority="5" stopIfTrue="1" operator="equal">
      <formula>"Yes"</formula>
    </cfRule>
  </conditionalFormatting>
  <conditionalFormatting sqref="K543:K544">
    <cfRule type="cellIs" dxfId="3" priority="4" stopIfTrue="1" operator="equal">
      <formula>"Yes"</formula>
    </cfRule>
  </conditionalFormatting>
  <conditionalFormatting sqref="K464:K465">
    <cfRule type="cellIs" dxfId="2" priority="3" stopIfTrue="1" operator="equal">
      <formula>"Yes"</formula>
    </cfRule>
  </conditionalFormatting>
  <conditionalFormatting sqref="K308:K309">
    <cfRule type="cellIs" dxfId="1" priority="2" stopIfTrue="1" operator="equal">
      <formula>"Yes"</formula>
    </cfRule>
  </conditionalFormatting>
  <conditionalFormatting sqref="K243:K244">
    <cfRule type="cellIs" dxfId="0" priority="1" stopIfTrue="1" operator="equal">
      <formula>"Yes"</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IV313"/>
  <sheetViews>
    <sheetView zoomScale="70" zoomScaleNormal="70" workbookViewId="0">
      <pane xSplit="3" ySplit="1" topLeftCell="D299" activePane="bottomRight" state="frozen"/>
      <selection pane="topRight" activeCell="D1" sqref="D1"/>
      <selection pane="bottomLeft" activeCell="A2" sqref="A2"/>
      <selection pane="bottomRight" activeCell="B310" sqref="B310"/>
    </sheetView>
  </sheetViews>
  <sheetFormatPr defaultColWidth="8.75" defaultRowHeight="14.25"/>
  <cols>
    <col min="1" max="1" width="14.625" style="193" customWidth="1"/>
    <col min="2" max="2" width="14" style="193" customWidth="1"/>
    <col min="3" max="3" width="6.25" style="193" customWidth="1"/>
    <col min="4" max="4" width="50.875" style="193" customWidth="1"/>
    <col min="5" max="5" width="44.875" style="193" customWidth="1"/>
    <col min="6" max="11" width="40" style="193" customWidth="1"/>
    <col min="12" max="12" width="40" style="259" customWidth="1"/>
    <col min="13" max="13" width="40" style="47" customWidth="1"/>
    <col min="14" max="16384" width="8.75" style="47"/>
  </cols>
  <sheetData>
    <row r="1" spans="1:13">
      <c r="B1" s="193" t="s">
        <v>2717</v>
      </c>
      <c r="C1" s="193" t="s">
        <v>1184</v>
      </c>
      <c r="D1" s="193" t="s">
        <v>1503</v>
      </c>
      <c r="E1" s="195" t="s">
        <v>2718</v>
      </c>
      <c r="F1" s="195" t="s">
        <v>2719</v>
      </c>
      <c r="G1" s="193" t="s">
        <v>957</v>
      </c>
      <c r="H1" s="193" t="s">
        <v>958</v>
      </c>
      <c r="I1" s="193" t="s">
        <v>959</v>
      </c>
      <c r="J1" s="193" t="s">
        <v>960</v>
      </c>
      <c r="K1" s="193" t="s">
        <v>961</v>
      </c>
      <c r="L1" s="259" t="s">
        <v>962</v>
      </c>
      <c r="M1" s="47" t="s">
        <v>4277</v>
      </c>
    </row>
    <row r="2" spans="1:13" ht="114">
      <c r="A2" s="193" t="str">
        <f>B2&amp;C2</f>
        <v>InstructionsA1</v>
      </c>
      <c r="B2" s="193" t="s">
        <v>956</v>
      </c>
      <c r="C2" s="193" t="s">
        <v>1185</v>
      </c>
      <c r="D2" s="193" t="s">
        <v>4704</v>
      </c>
      <c r="E2" s="195" t="s">
        <v>1021</v>
      </c>
      <c r="F2" s="195" t="s">
        <v>1403</v>
      </c>
      <c r="G2" s="193" t="s">
        <v>628</v>
      </c>
      <c r="H2" s="193" t="s">
        <v>521</v>
      </c>
      <c r="I2" s="193" t="s">
        <v>216</v>
      </c>
      <c r="J2" s="193" t="s">
        <v>2595</v>
      </c>
      <c r="K2" s="260" t="s">
        <v>716</v>
      </c>
      <c r="L2" s="259" t="s">
        <v>98</v>
      </c>
      <c r="M2" s="193" t="s">
        <v>4278</v>
      </c>
    </row>
    <row r="3" spans="1:13" ht="28.5">
      <c r="A3" s="193" t="str">
        <f t="shared" ref="A3:A79" si="0">B3&amp;C3</f>
        <v>InstructionsA2</v>
      </c>
      <c r="B3" s="193" t="s">
        <v>956</v>
      </c>
      <c r="C3" s="193" t="s">
        <v>1186</v>
      </c>
      <c r="D3" s="193" t="s">
        <v>1493</v>
      </c>
      <c r="E3" s="193" t="s">
        <v>1022</v>
      </c>
      <c r="F3" s="195" t="s">
        <v>1993</v>
      </c>
      <c r="G3" s="193" t="s">
        <v>1932</v>
      </c>
      <c r="H3" s="193" t="s">
        <v>1493</v>
      </c>
      <c r="I3" s="193" t="s">
        <v>1933</v>
      </c>
      <c r="J3" s="193" t="s">
        <v>1934</v>
      </c>
      <c r="K3" s="261" t="s">
        <v>717</v>
      </c>
      <c r="L3" s="259" t="s">
        <v>2361</v>
      </c>
      <c r="M3" s="193" t="s">
        <v>4279</v>
      </c>
    </row>
    <row r="4" spans="1:13" ht="409.5">
      <c r="A4" s="193" t="str">
        <f t="shared" si="0"/>
        <v>InstructionsA3</v>
      </c>
      <c r="B4" s="193" t="s">
        <v>956</v>
      </c>
      <c r="C4" s="193" t="s">
        <v>1187</v>
      </c>
      <c r="D4" s="193" t="s">
        <v>4810</v>
      </c>
      <c r="E4" s="195" t="s">
        <v>4644</v>
      </c>
      <c r="F4" s="195" t="s">
        <v>4645</v>
      </c>
      <c r="G4" s="193" t="s">
        <v>4646</v>
      </c>
      <c r="H4" s="193" t="s">
        <v>4647</v>
      </c>
      <c r="I4" s="193" t="s">
        <v>4648</v>
      </c>
      <c r="J4" s="193" t="s">
        <v>4649</v>
      </c>
      <c r="K4" s="260" t="s">
        <v>4650</v>
      </c>
      <c r="L4" s="259" t="s">
        <v>4651</v>
      </c>
      <c r="M4" s="247" t="s">
        <v>4652</v>
      </c>
    </row>
    <row r="5" spans="1:13" ht="384.75">
      <c r="A5" s="193" t="str">
        <f t="shared" si="0"/>
        <v>InstructionsA4</v>
      </c>
      <c r="B5" s="193" t="s">
        <v>956</v>
      </c>
      <c r="C5" s="193" t="s">
        <v>1188</v>
      </c>
      <c r="D5" s="193" t="s">
        <v>1402</v>
      </c>
      <c r="E5" s="195" t="s">
        <v>2720</v>
      </c>
      <c r="F5" s="195" t="s">
        <v>1404</v>
      </c>
      <c r="G5" s="193" t="s">
        <v>629</v>
      </c>
      <c r="H5" s="195" t="s">
        <v>522</v>
      </c>
      <c r="I5" s="193" t="s">
        <v>428</v>
      </c>
      <c r="J5" s="193" t="s">
        <v>2596</v>
      </c>
      <c r="K5" s="260" t="s">
        <v>718</v>
      </c>
      <c r="L5" s="259" t="s">
        <v>156</v>
      </c>
      <c r="M5" s="193" t="s">
        <v>4280</v>
      </c>
    </row>
    <row r="6" spans="1:13" ht="71.25">
      <c r="A6" s="193" t="str">
        <f t="shared" si="0"/>
        <v>InstructionsA6</v>
      </c>
      <c r="B6" s="193" t="s">
        <v>956</v>
      </c>
      <c r="C6" s="193" t="s">
        <v>1189</v>
      </c>
      <c r="D6" s="193" t="s">
        <v>775</v>
      </c>
      <c r="E6" s="195" t="s">
        <v>1023</v>
      </c>
      <c r="F6" s="195" t="s">
        <v>1405</v>
      </c>
      <c r="G6" s="193" t="s">
        <v>1935</v>
      </c>
      <c r="H6" s="193" t="s">
        <v>523</v>
      </c>
      <c r="I6" s="193" t="s">
        <v>429</v>
      </c>
      <c r="J6" s="193" t="s">
        <v>2545</v>
      </c>
      <c r="K6" s="260" t="s">
        <v>719</v>
      </c>
      <c r="L6" s="259" t="s">
        <v>157</v>
      </c>
      <c r="M6" s="193" t="s">
        <v>4281</v>
      </c>
    </row>
    <row r="7" spans="1:13" ht="28.5">
      <c r="A7" s="193" t="str">
        <f t="shared" si="0"/>
        <v>InstructionsA7</v>
      </c>
      <c r="B7" s="193" t="s">
        <v>956</v>
      </c>
      <c r="C7" s="193" t="s">
        <v>1190</v>
      </c>
      <c r="D7" s="193" t="s">
        <v>4706</v>
      </c>
      <c r="E7" s="195" t="s">
        <v>1024</v>
      </c>
      <c r="F7" s="195" t="s">
        <v>1406</v>
      </c>
      <c r="G7" s="193" t="s">
        <v>1936</v>
      </c>
      <c r="H7" s="193" t="s">
        <v>963</v>
      </c>
      <c r="I7" s="193" t="s">
        <v>430</v>
      </c>
      <c r="J7" s="193" t="s">
        <v>2443</v>
      </c>
      <c r="K7" s="260" t="s">
        <v>720</v>
      </c>
      <c r="L7" s="259" t="s">
        <v>2362</v>
      </c>
      <c r="M7" s="193" t="s">
        <v>4282</v>
      </c>
    </row>
    <row r="8" spans="1:13" ht="86.25" customHeight="1">
      <c r="A8" s="193" t="str">
        <f t="shared" si="0"/>
        <v>InstructionsA8</v>
      </c>
      <c r="B8" s="193" t="s">
        <v>956</v>
      </c>
      <c r="C8" s="193" t="s">
        <v>1191</v>
      </c>
      <c r="D8" s="193" t="s">
        <v>4872</v>
      </c>
      <c r="E8" s="303" t="s">
        <v>4938</v>
      </c>
      <c r="F8" s="195" t="s">
        <v>4950</v>
      </c>
      <c r="G8" s="193" t="s">
        <v>4951</v>
      </c>
      <c r="H8" s="193" t="s">
        <v>4960</v>
      </c>
      <c r="I8" s="193" t="s">
        <v>4961</v>
      </c>
      <c r="J8" s="193" t="s">
        <v>4970</v>
      </c>
      <c r="K8" s="260" t="s">
        <v>4971</v>
      </c>
      <c r="L8" s="259" t="s">
        <v>4980</v>
      </c>
      <c r="M8" s="247" t="s">
        <v>4981</v>
      </c>
    </row>
    <row r="9" spans="1:13" ht="409.5">
      <c r="A9" s="193" t="str">
        <f t="shared" si="0"/>
        <v>InstructionsA9</v>
      </c>
      <c r="B9" s="193" t="s">
        <v>956</v>
      </c>
      <c r="C9" s="193" t="s">
        <v>2366</v>
      </c>
      <c r="D9" s="193" t="s">
        <v>4149</v>
      </c>
      <c r="E9" s="194" t="s">
        <v>2786</v>
      </c>
      <c r="F9" s="208" t="s">
        <v>4018</v>
      </c>
      <c r="G9" s="194" t="s">
        <v>4003</v>
      </c>
      <c r="H9" s="194" t="s">
        <v>2787</v>
      </c>
      <c r="I9" s="194" t="s">
        <v>2788</v>
      </c>
      <c r="J9" s="194" t="s">
        <v>2745</v>
      </c>
      <c r="K9" s="194" t="s">
        <v>2789</v>
      </c>
      <c r="L9" s="194" t="s">
        <v>2790</v>
      </c>
      <c r="M9" s="262" t="s">
        <v>4283</v>
      </c>
    </row>
    <row r="10" spans="1:13" ht="57">
      <c r="A10" s="193" t="str">
        <f t="shared" si="0"/>
        <v>InstructionsA10</v>
      </c>
      <c r="B10" s="193" t="s">
        <v>956</v>
      </c>
      <c r="C10" s="193" t="s">
        <v>2367</v>
      </c>
      <c r="D10" s="193" t="s">
        <v>784</v>
      </c>
      <c r="E10" s="195" t="s">
        <v>1025</v>
      </c>
      <c r="F10" s="195" t="s">
        <v>496</v>
      </c>
      <c r="G10" s="193" t="s">
        <v>1448</v>
      </c>
      <c r="H10" s="193" t="s">
        <v>524</v>
      </c>
      <c r="I10" s="193" t="s">
        <v>431</v>
      </c>
      <c r="J10" s="193" t="s">
        <v>2546</v>
      </c>
      <c r="K10" s="263" t="s">
        <v>721</v>
      </c>
      <c r="L10" s="259" t="s">
        <v>2445</v>
      </c>
      <c r="M10" s="193" t="s">
        <v>4284</v>
      </c>
    </row>
    <row r="11" spans="1:13" ht="57">
      <c r="A11" s="193" t="str">
        <f>B11&amp;C11</f>
        <v>InstructionsA11</v>
      </c>
      <c r="B11" s="193" t="s">
        <v>956</v>
      </c>
      <c r="C11" s="193" t="s">
        <v>2368</v>
      </c>
      <c r="D11" s="193" t="s">
        <v>785</v>
      </c>
      <c r="E11" s="195" t="s">
        <v>1026</v>
      </c>
      <c r="F11" s="195" t="s">
        <v>1407</v>
      </c>
      <c r="G11" s="193" t="s">
        <v>630</v>
      </c>
      <c r="H11" s="193" t="s">
        <v>800</v>
      </c>
      <c r="I11" s="193" t="s">
        <v>432</v>
      </c>
      <c r="J11" s="193" t="s">
        <v>2547</v>
      </c>
      <c r="K11" s="263" t="s">
        <v>722</v>
      </c>
      <c r="L11" s="259" t="s">
        <v>7</v>
      </c>
      <c r="M11" s="193" t="s">
        <v>4285</v>
      </c>
    </row>
    <row r="12" spans="1:13" ht="57">
      <c r="A12" s="193" t="str">
        <f t="shared" si="0"/>
        <v>InstructionsA12</v>
      </c>
      <c r="B12" s="193" t="s">
        <v>956</v>
      </c>
      <c r="C12" s="193" t="s">
        <v>2369</v>
      </c>
      <c r="D12" s="193" t="s">
        <v>786</v>
      </c>
      <c r="E12" s="195" t="s">
        <v>1027</v>
      </c>
      <c r="F12" s="195" t="s">
        <v>1408</v>
      </c>
      <c r="G12" s="193" t="s">
        <v>631</v>
      </c>
      <c r="H12" s="193" t="s">
        <v>801</v>
      </c>
      <c r="I12" s="193" t="s">
        <v>433</v>
      </c>
      <c r="J12" s="193" t="s">
        <v>2548</v>
      </c>
      <c r="K12" s="263" t="s">
        <v>172</v>
      </c>
      <c r="L12" s="259" t="s">
        <v>8</v>
      </c>
      <c r="M12" s="193" t="s">
        <v>4286</v>
      </c>
    </row>
    <row r="13" spans="1:13" ht="85.5">
      <c r="A13" s="193" t="str">
        <f t="shared" si="0"/>
        <v>InstructionsA13</v>
      </c>
      <c r="B13" s="193" t="s">
        <v>956</v>
      </c>
      <c r="C13" s="193" t="s">
        <v>2370</v>
      </c>
      <c r="D13" s="193" t="s">
        <v>776</v>
      </c>
      <c r="E13" s="195" t="s">
        <v>1028</v>
      </c>
      <c r="F13" s="195" t="s">
        <v>1409</v>
      </c>
      <c r="G13" s="193" t="s">
        <v>632</v>
      </c>
      <c r="H13" s="193" t="s">
        <v>802</v>
      </c>
      <c r="I13" s="193" t="s">
        <v>434</v>
      </c>
      <c r="J13" s="193" t="s">
        <v>2549</v>
      </c>
      <c r="K13" s="263" t="s">
        <v>171</v>
      </c>
      <c r="L13" s="259" t="s">
        <v>9</v>
      </c>
      <c r="M13" s="193" t="s">
        <v>4287</v>
      </c>
    </row>
    <row r="14" spans="1:13" ht="99.75">
      <c r="A14" s="193" t="str">
        <f t="shared" si="0"/>
        <v>InstructionsA14</v>
      </c>
      <c r="B14" s="193" t="s">
        <v>956</v>
      </c>
      <c r="C14" s="193" t="s">
        <v>2371</v>
      </c>
      <c r="D14" s="193" t="s">
        <v>777</v>
      </c>
      <c r="E14" s="195" t="s">
        <v>1029</v>
      </c>
      <c r="F14" s="195" t="s">
        <v>497</v>
      </c>
      <c r="G14" s="193" t="s">
        <v>633</v>
      </c>
      <c r="H14" s="193" t="s">
        <v>803</v>
      </c>
      <c r="I14" s="193" t="s">
        <v>435</v>
      </c>
      <c r="J14" s="193" t="s">
        <v>2597</v>
      </c>
      <c r="K14" s="263" t="s">
        <v>170</v>
      </c>
      <c r="L14" s="259" t="s">
        <v>10</v>
      </c>
      <c r="M14" s="193" t="s">
        <v>4288</v>
      </c>
    </row>
    <row r="15" spans="1:13" ht="42.75">
      <c r="A15" s="193" t="str">
        <f t="shared" si="0"/>
        <v>InstructionsA15</v>
      </c>
      <c r="B15" s="193" t="s">
        <v>956</v>
      </c>
      <c r="C15" s="193" t="s">
        <v>779</v>
      </c>
      <c r="D15" s="193" t="s">
        <v>778</v>
      </c>
      <c r="E15" s="195" t="s">
        <v>1030</v>
      </c>
      <c r="F15" s="195" t="s">
        <v>1410</v>
      </c>
      <c r="G15" s="193" t="s">
        <v>634</v>
      </c>
      <c r="H15" s="193" t="s">
        <v>804</v>
      </c>
      <c r="I15" s="193" t="s">
        <v>436</v>
      </c>
      <c r="J15" s="193" t="s">
        <v>2550</v>
      </c>
      <c r="K15" s="263" t="s">
        <v>169</v>
      </c>
      <c r="L15" s="259" t="s">
        <v>11</v>
      </c>
      <c r="M15" s="193" t="s">
        <v>4289</v>
      </c>
    </row>
    <row r="16" spans="1:13" ht="128.25">
      <c r="A16" s="193" t="str">
        <f t="shared" si="0"/>
        <v>InstructionsA16</v>
      </c>
      <c r="B16" s="193" t="s">
        <v>956</v>
      </c>
      <c r="C16" s="193" t="s">
        <v>2372</v>
      </c>
      <c r="D16" s="193" t="s">
        <v>787</v>
      </c>
      <c r="E16" s="195" t="s">
        <v>1031</v>
      </c>
      <c r="F16" s="195" t="s">
        <v>498</v>
      </c>
      <c r="G16" s="193" t="s">
        <v>635</v>
      </c>
      <c r="H16" s="193" t="s">
        <v>805</v>
      </c>
      <c r="I16" s="193" t="s">
        <v>437</v>
      </c>
      <c r="J16" s="193" t="s">
        <v>2551</v>
      </c>
      <c r="K16" s="264" t="s">
        <v>723</v>
      </c>
      <c r="L16" s="259" t="s">
        <v>12</v>
      </c>
      <c r="M16" s="193" t="s">
        <v>4290</v>
      </c>
    </row>
    <row r="17" spans="1:13" ht="42.75">
      <c r="A17" s="193" t="str">
        <f t="shared" si="0"/>
        <v>InstructionsA17</v>
      </c>
      <c r="B17" s="193" t="s">
        <v>956</v>
      </c>
      <c r="C17" s="193" t="s">
        <v>2373</v>
      </c>
      <c r="D17" s="193" t="s">
        <v>780</v>
      </c>
      <c r="E17" s="195" t="s">
        <v>1032</v>
      </c>
      <c r="F17" s="195" t="s">
        <v>1411</v>
      </c>
      <c r="G17" s="193" t="s">
        <v>636</v>
      </c>
      <c r="H17" s="193" t="s">
        <v>806</v>
      </c>
      <c r="I17" s="193" t="s">
        <v>438</v>
      </c>
      <c r="J17" s="193" t="s">
        <v>2552</v>
      </c>
      <c r="K17" s="264" t="s">
        <v>724</v>
      </c>
      <c r="L17" s="259" t="s">
        <v>13</v>
      </c>
      <c r="M17" s="193" t="s">
        <v>4291</v>
      </c>
    </row>
    <row r="18" spans="1:13" ht="99.75">
      <c r="A18" s="193" t="str">
        <f t="shared" si="0"/>
        <v>InstructionsA18</v>
      </c>
      <c r="B18" s="193" t="s">
        <v>956</v>
      </c>
      <c r="C18" s="193" t="s">
        <v>2374</v>
      </c>
      <c r="D18" s="193" t="s">
        <v>4114</v>
      </c>
      <c r="E18" s="195" t="s">
        <v>4116</v>
      </c>
      <c r="F18" s="195" t="s">
        <v>4117</v>
      </c>
      <c r="G18" s="193" t="s">
        <v>4118</v>
      </c>
      <c r="H18" s="193" t="s">
        <v>4119</v>
      </c>
      <c r="I18" s="193" t="s">
        <v>4120</v>
      </c>
      <c r="J18" s="193" t="s">
        <v>4121</v>
      </c>
      <c r="K18" s="264" t="s">
        <v>4122</v>
      </c>
      <c r="L18" s="259" t="s">
        <v>4123</v>
      </c>
      <c r="M18" s="193" t="s">
        <v>4292</v>
      </c>
    </row>
    <row r="19" spans="1:13" ht="42.75">
      <c r="A19" s="193" t="str">
        <f t="shared" si="0"/>
        <v>InstructionsA19</v>
      </c>
      <c r="B19" s="193" t="s">
        <v>956</v>
      </c>
      <c r="C19" s="193" t="s">
        <v>2375</v>
      </c>
      <c r="D19" s="193" t="s">
        <v>4115</v>
      </c>
      <c r="E19" s="195" t="s">
        <v>4131</v>
      </c>
      <c r="F19" s="195" t="s">
        <v>4130</v>
      </c>
      <c r="G19" s="193" t="s">
        <v>4129</v>
      </c>
      <c r="H19" s="193" t="s">
        <v>4128</v>
      </c>
      <c r="I19" s="193" t="s">
        <v>4127</v>
      </c>
      <c r="J19" s="193" t="s">
        <v>4126</v>
      </c>
      <c r="K19" s="264" t="s">
        <v>4125</v>
      </c>
      <c r="L19" s="259" t="s">
        <v>4124</v>
      </c>
      <c r="M19" s="193" t="s">
        <v>4293</v>
      </c>
    </row>
    <row r="20" spans="1:13" ht="57">
      <c r="A20" s="193" t="str">
        <f t="shared" si="0"/>
        <v>InstructionsA20</v>
      </c>
      <c r="B20" s="193" t="s">
        <v>956</v>
      </c>
      <c r="C20" s="193" t="s">
        <v>2376</v>
      </c>
      <c r="D20" s="193" t="s">
        <v>788</v>
      </c>
      <c r="E20" s="195" t="s">
        <v>1033</v>
      </c>
      <c r="F20" s="195" t="s">
        <v>1412</v>
      </c>
      <c r="G20" s="193" t="s">
        <v>637</v>
      </c>
      <c r="H20" s="193" t="s">
        <v>807</v>
      </c>
      <c r="I20" s="193" t="s">
        <v>439</v>
      </c>
      <c r="J20" s="193" t="s">
        <v>2553</v>
      </c>
      <c r="K20" s="264" t="s">
        <v>725</v>
      </c>
      <c r="L20" s="259" t="s">
        <v>14</v>
      </c>
      <c r="M20" s="193" t="s">
        <v>4294</v>
      </c>
    </row>
    <row r="21" spans="1:13" ht="57">
      <c r="A21" s="193" t="str">
        <f t="shared" si="0"/>
        <v>InstructionsA21</v>
      </c>
      <c r="B21" s="193" t="s">
        <v>956</v>
      </c>
      <c r="C21" s="193" t="s">
        <v>2377</v>
      </c>
      <c r="D21" s="193" t="s">
        <v>789</v>
      </c>
      <c r="E21" s="195" t="s">
        <v>1034</v>
      </c>
      <c r="F21" s="195" t="s">
        <v>1413</v>
      </c>
      <c r="G21" s="193" t="s">
        <v>638</v>
      </c>
      <c r="H21" s="193" t="s">
        <v>808</v>
      </c>
      <c r="I21" s="193" t="s">
        <v>440</v>
      </c>
      <c r="J21" s="193" t="s">
        <v>2554</v>
      </c>
      <c r="K21" s="264" t="s">
        <v>726</v>
      </c>
      <c r="L21" s="259" t="s">
        <v>15</v>
      </c>
      <c r="M21" s="193" t="s">
        <v>4295</v>
      </c>
    </row>
    <row r="22" spans="1:13" ht="54.75" customHeight="1">
      <c r="A22" s="193" t="str">
        <f t="shared" si="0"/>
        <v>InstructionsA23</v>
      </c>
      <c r="B22" s="193" t="s">
        <v>956</v>
      </c>
      <c r="C22" s="193" t="s">
        <v>2378</v>
      </c>
      <c r="D22" s="193" t="s">
        <v>781</v>
      </c>
      <c r="E22" s="195" t="s">
        <v>473</v>
      </c>
      <c r="F22" s="195" t="s">
        <v>1414</v>
      </c>
      <c r="G22" s="193" t="s">
        <v>639</v>
      </c>
      <c r="H22" s="193" t="s">
        <v>809</v>
      </c>
      <c r="I22" s="193" t="s">
        <v>441</v>
      </c>
      <c r="J22" s="193" t="s">
        <v>2555</v>
      </c>
      <c r="K22" s="264" t="s">
        <v>727</v>
      </c>
      <c r="L22" s="259" t="s">
        <v>16</v>
      </c>
      <c r="M22" s="193" t="s">
        <v>4296</v>
      </c>
    </row>
    <row r="23" spans="1:13" ht="191.25">
      <c r="A23" s="193" t="str">
        <f t="shared" si="0"/>
        <v>InstructionsA24</v>
      </c>
      <c r="B23" s="193" t="s">
        <v>956</v>
      </c>
      <c r="C23" s="193" t="s">
        <v>2379</v>
      </c>
      <c r="D23" s="194" t="s">
        <v>2746</v>
      </c>
      <c r="E23" s="194" t="s">
        <v>2747</v>
      </c>
      <c r="F23" s="208" t="s">
        <v>2748</v>
      </c>
      <c r="G23" s="194" t="s">
        <v>2791</v>
      </c>
      <c r="H23" s="194" t="s">
        <v>2792</v>
      </c>
      <c r="I23" s="194" t="s">
        <v>2793</v>
      </c>
      <c r="J23" s="194" t="s">
        <v>2794</v>
      </c>
      <c r="K23" s="194" t="s">
        <v>2795</v>
      </c>
      <c r="L23" s="194" t="s">
        <v>2796</v>
      </c>
      <c r="M23" s="194" t="s">
        <v>4297</v>
      </c>
    </row>
    <row r="24" spans="1:13" ht="165.75">
      <c r="A24" s="193" t="str">
        <f t="shared" si="0"/>
        <v>InstructionsA25</v>
      </c>
      <c r="B24" s="193" t="s">
        <v>956</v>
      </c>
      <c r="C24" s="193" t="s">
        <v>2380</v>
      </c>
      <c r="D24" s="194" t="s">
        <v>2752</v>
      </c>
      <c r="E24" s="194" t="s">
        <v>2753</v>
      </c>
      <c r="F24" s="208" t="s">
        <v>2754</v>
      </c>
      <c r="G24" s="194" t="s">
        <v>2797</v>
      </c>
      <c r="H24" s="194" t="s">
        <v>2798</v>
      </c>
      <c r="I24" s="194" t="s">
        <v>2799</v>
      </c>
      <c r="J24" s="194" t="s">
        <v>2800</v>
      </c>
      <c r="K24" s="194" t="s">
        <v>2801</v>
      </c>
      <c r="L24" s="194" t="s">
        <v>2802</v>
      </c>
      <c r="M24" s="194" t="s">
        <v>4298</v>
      </c>
    </row>
    <row r="25" spans="1:13" ht="409.5">
      <c r="A25" s="193" t="str">
        <f t="shared" si="0"/>
        <v>InstructionsA26</v>
      </c>
      <c r="B25" s="193" t="s">
        <v>956</v>
      </c>
      <c r="C25" s="193" t="s">
        <v>2381</v>
      </c>
      <c r="D25" s="194" t="s">
        <v>4700</v>
      </c>
      <c r="E25" s="245" t="s">
        <v>4653</v>
      </c>
      <c r="F25" s="208" t="s">
        <v>4654</v>
      </c>
      <c r="G25" s="245" t="s">
        <v>4655</v>
      </c>
      <c r="H25" s="245" t="s">
        <v>4656</v>
      </c>
      <c r="I25" s="245" t="s">
        <v>4657</v>
      </c>
      <c r="J25" s="245" t="s">
        <v>4658</v>
      </c>
      <c r="K25" s="245" t="s">
        <v>4659</v>
      </c>
      <c r="L25" s="245" t="s">
        <v>4660</v>
      </c>
      <c r="M25" s="246" t="s">
        <v>4661</v>
      </c>
    </row>
    <row r="26" spans="1:13" ht="57">
      <c r="A26" s="193" t="str">
        <f t="shared" si="0"/>
        <v>InstructionsA27</v>
      </c>
      <c r="B26" s="193" t="s">
        <v>956</v>
      </c>
      <c r="C26" s="193" t="s">
        <v>782</v>
      </c>
      <c r="D26" s="193" t="s">
        <v>783</v>
      </c>
      <c r="E26" s="195" t="s">
        <v>1035</v>
      </c>
      <c r="F26" s="195" t="s">
        <v>1415</v>
      </c>
      <c r="G26" s="193" t="s">
        <v>640</v>
      </c>
      <c r="H26" s="193" t="s">
        <v>810</v>
      </c>
      <c r="I26" s="193" t="s">
        <v>442</v>
      </c>
      <c r="J26" s="193" t="s">
        <v>2556</v>
      </c>
      <c r="K26" s="264" t="s">
        <v>728</v>
      </c>
      <c r="L26" s="259" t="s">
        <v>17</v>
      </c>
      <c r="M26" s="193" t="s">
        <v>4299</v>
      </c>
    </row>
    <row r="27" spans="1:13" ht="409.5">
      <c r="A27" s="193" t="str">
        <f t="shared" si="0"/>
        <v>InstructionsA28</v>
      </c>
      <c r="B27" s="193" t="s">
        <v>956</v>
      </c>
      <c r="C27" s="193" t="s">
        <v>1857</v>
      </c>
      <c r="D27" s="194" t="s">
        <v>4703</v>
      </c>
      <c r="E27" s="245" t="s">
        <v>4662</v>
      </c>
      <c r="F27" s="208" t="s">
        <v>4663</v>
      </c>
      <c r="G27" s="245" t="s">
        <v>4664</v>
      </c>
      <c r="H27" s="245" t="s">
        <v>4665</v>
      </c>
      <c r="I27" s="245" t="s">
        <v>4666</v>
      </c>
      <c r="J27" s="245" t="s">
        <v>4667</v>
      </c>
      <c r="K27" s="245" t="s">
        <v>4668</v>
      </c>
      <c r="L27" s="245" t="s">
        <v>4669</v>
      </c>
      <c r="M27" s="246" t="s">
        <v>4670</v>
      </c>
    </row>
    <row r="28" spans="1:13" ht="178.5">
      <c r="A28" s="193" t="str">
        <f>B28&amp;C28</f>
        <v>InstructionsA29</v>
      </c>
      <c r="B28" s="193" t="s">
        <v>956</v>
      </c>
      <c r="C28" s="193" t="s">
        <v>2382</v>
      </c>
      <c r="D28" s="194" t="s">
        <v>4881</v>
      </c>
      <c r="E28" s="194" t="s">
        <v>4882</v>
      </c>
      <c r="F28" s="208" t="s">
        <v>4883</v>
      </c>
      <c r="G28" s="194" t="s">
        <v>4884</v>
      </c>
      <c r="H28" s="194" t="s">
        <v>4885</v>
      </c>
      <c r="I28" s="194" t="s">
        <v>4886</v>
      </c>
      <c r="J28" s="194" t="s">
        <v>4887</v>
      </c>
      <c r="K28" s="194" t="s">
        <v>4888</v>
      </c>
      <c r="L28" s="194" t="s">
        <v>4889</v>
      </c>
      <c r="M28" s="246" t="s">
        <v>4890</v>
      </c>
    </row>
    <row r="29" spans="1:13" ht="280.5">
      <c r="A29" s="193" t="str">
        <f t="shared" si="0"/>
        <v>InstructionsA30</v>
      </c>
      <c r="B29" s="193" t="s">
        <v>956</v>
      </c>
      <c r="C29" s="193" t="s">
        <v>2383</v>
      </c>
      <c r="D29" s="194" t="s">
        <v>2755</v>
      </c>
      <c r="E29" s="194" t="s">
        <v>2756</v>
      </c>
      <c r="F29" s="208" t="s">
        <v>2757</v>
      </c>
      <c r="G29" s="194" t="s">
        <v>2803</v>
      </c>
      <c r="H29" s="194" t="s">
        <v>2804</v>
      </c>
      <c r="I29" s="194" t="s">
        <v>2805</v>
      </c>
      <c r="J29" s="194" t="s">
        <v>2758</v>
      </c>
      <c r="K29" s="194" t="s">
        <v>2806</v>
      </c>
      <c r="L29" s="194" t="s">
        <v>2807</v>
      </c>
      <c r="M29" s="194" t="s">
        <v>4300</v>
      </c>
    </row>
    <row r="30" spans="1:13" ht="255">
      <c r="A30" s="193" t="str">
        <f t="shared" si="0"/>
        <v>InstructionsA31</v>
      </c>
      <c r="B30" s="193" t="s">
        <v>956</v>
      </c>
      <c r="C30" s="193" t="s">
        <v>2384</v>
      </c>
      <c r="D30" s="194" t="s">
        <v>2759</v>
      </c>
      <c r="E30" s="194" t="s">
        <v>2760</v>
      </c>
      <c r="F30" s="208" t="s">
        <v>2761</v>
      </c>
      <c r="G30" s="194" t="s">
        <v>2808</v>
      </c>
      <c r="H30" s="194" t="s">
        <v>2809</v>
      </c>
      <c r="I30" s="194" t="s">
        <v>2810</v>
      </c>
      <c r="J30" s="194" t="s">
        <v>2762</v>
      </c>
      <c r="K30" s="194" t="s">
        <v>2811</v>
      </c>
      <c r="L30" s="194" t="s">
        <v>2812</v>
      </c>
      <c r="M30" s="194" t="s">
        <v>4301</v>
      </c>
    </row>
    <row r="31" spans="1:13" ht="153">
      <c r="A31" s="193" t="str">
        <f t="shared" si="0"/>
        <v>InstructionsA32</v>
      </c>
      <c r="B31" s="193" t="s">
        <v>956</v>
      </c>
      <c r="C31" s="193" t="s">
        <v>2385</v>
      </c>
      <c r="D31" s="194" t="s">
        <v>2763</v>
      </c>
      <c r="E31" s="194" t="s">
        <v>2764</v>
      </c>
      <c r="F31" s="208" t="s">
        <v>2765</v>
      </c>
      <c r="G31" s="194" t="s">
        <v>2813</v>
      </c>
      <c r="H31" s="194" t="s">
        <v>2814</v>
      </c>
      <c r="I31" s="194" t="s">
        <v>2815</v>
      </c>
      <c r="J31" s="194" t="s">
        <v>2816</v>
      </c>
      <c r="K31" s="194" t="s">
        <v>2817</v>
      </c>
      <c r="L31" s="194" t="s">
        <v>2818</v>
      </c>
      <c r="M31" s="194" t="s">
        <v>4302</v>
      </c>
    </row>
    <row r="32" spans="1:13" ht="153">
      <c r="A32" s="193" t="str">
        <f t="shared" si="0"/>
        <v>InstructionsA33</v>
      </c>
      <c r="B32" s="193" t="s">
        <v>956</v>
      </c>
      <c r="C32" s="193" t="s">
        <v>2386</v>
      </c>
      <c r="D32" s="194" t="s">
        <v>2766</v>
      </c>
      <c r="E32" s="194" t="s">
        <v>2767</v>
      </c>
      <c r="F32" s="208" t="s">
        <v>4019</v>
      </c>
      <c r="G32" s="194" t="s">
        <v>2819</v>
      </c>
      <c r="H32" s="194" t="s">
        <v>2820</v>
      </c>
      <c r="I32" s="194" t="s">
        <v>2821</v>
      </c>
      <c r="J32" s="194" t="s">
        <v>2822</v>
      </c>
      <c r="K32" s="194" t="s">
        <v>2823</v>
      </c>
      <c r="L32" s="194" t="s">
        <v>2824</v>
      </c>
      <c r="M32" s="194" t="s">
        <v>4303</v>
      </c>
    </row>
    <row r="33" spans="1:13" ht="57">
      <c r="A33" s="193" t="str">
        <f t="shared" si="0"/>
        <v>InstructionsA34</v>
      </c>
      <c r="B33" s="193" t="s">
        <v>956</v>
      </c>
      <c r="C33" s="193" t="s">
        <v>2387</v>
      </c>
      <c r="D33" s="193" t="s">
        <v>1920</v>
      </c>
      <c r="E33" s="193" t="s">
        <v>1803</v>
      </c>
      <c r="F33" s="195" t="s">
        <v>1804</v>
      </c>
      <c r="G33" s="193" t="s">
        <v>1805</v>
      </c>
      <c r="H33" s="193" t="s">
        <v>1806</v>
      </c>
      <c r="I33" s="193" t="s">
        <v>443</v>
      </c>
      <c r="J33" s="193" t="s">
        <v>1937</v>
      </c>
      <c r="K33" s="265" t="s">
        <v>729</v>
      </c>
      <c r="L33" s="259" t="s">
        <v>2446</v>
      </c>
      <c r="M33" s="193" t="s">
        <v>4304</v>
      </c>
    </row>
    <row r="34" spans="1:13" ht="114">
      <c r="A34" s="193" t="str">
        <f t="shared" si="0"/>
        <v>InstructionsA36</v>
      </c>
      <c r="B34" s="193" t="s">
        <v>956</v>
      </c>
      <c r="C34" s="193" t="s">
        <v>2388</v>
      </c>
      <c r="D34" s="193" t="s">
        <v>790</v>
      </c>
      <c r="E34" s="195" t="s">
        <v>1036</v>
      </c>
      <c r="F34" s="195" t="s">
        <v>1416</v>
      </c>
      <c r="G34" s="193" t="s">
        <v>641</v>
      </c>
      <c r="H34" s="266" t="s">
        <v>811</v>
      </c>
      <c r="I34" s="193" t="s">
        <v>444</v>
      </c>
      <c r="J34" s="193" t="s">
        <v>2557</v>
      </c>
      <c r="K34" s="264" t="s">
        <v>730</v>
      </c>
      <c r="L34" s="259" t="s">
        <v>18</v>
      </c>
      <c r="M34" s="193" t="s">
        <v>4305</v>
      </c>
    </row>
    <row r="35" spans="1:13" ht="370.5">
      <c r="A35" s="193" t="str">
        <f t="shared" si="0"/>
        <v>InstructionsA37</v>
      </c>
      <c r="B35" s="193" t="s">
        <v>956</v>
      </c>
      <c r="C35" s="193" t="s">
        <v>2389</v>
      </c>
      <c r="D35" s="193" t="s">
        <v>1902</v>
      </c>
      <c r="E35" s="195" t="s">
        <v>1037</v>
      </c>
      <c r="F35" s="195" t="s">
        <v>1417</v>
      </c>
      <c r="G35" s="193" t="s">
        <v>642</v>
      </c>
      <c r="H35" s="193" t="s">
        <v>2343</v>
      </c>
      <c r="I35" s="193" t="s">
        <v>445</v>
      </c>
      <c r="J35" s="193" t="s">
        <v>1938</v>
      </c>
      <c r="K35" s="196" t="s">
        <v>457</v>
      </c>
      <c r="L35" s="259" t="s">
        <v>2447</v>
      </c>
      <c r="M35" s="193" t="s">
        <v>4306</v>
      </c>
    </row>
    <row r="36" spans="1:13" ht="42.75">
      <c r="A36" s="193" t="str">
        <f t="shared" si="0"/>
        <v>InstructionsA38</v>
      </c>
      <c r="B36" s="193" t="s">
        <v>956</v>
      </c>
      <c r="C36" s="193" t="s">
        <v>2390</v>
      </c>
      <c r="D36" s="193" t="s">
        <v>798</v>
      </c>
      <c r="E36" s="195" t="s">
        <v>1038</v>
      </c>
      <c r="F36" s="195" t="s">
        <v>1418</v>
      </c>
      <c r="G36" s="193" t="s">
        <v>643</v>
      </c>
      <c r="H36" s="193" t="s">
        <v>2344</v>
      </c>
      <c r="I36" s="193" t="s">
        <v>446</v>
      </c>
      <c r="J36" s="193" t="s">
        <v>1939</v>
      </c>
      <c r="K36" s="260" t="s">
        <v>458</v>
      </c>
      <c r="L36" s="259" t="s">
        <v>2448</v>
      </c>
      <c r="M36" s="193" t="s">
        <v>4307</v>
      </c>
    </row>
    <row r="37" spans="1:13" ht="42.75">
      <c r="A37" s="193" t="str">
        <f t="shared" si="0"/>
        <v>InstructionsA39</v>
      </c>
      <c r="B37" s="193" t="s">
        <v>956</v>
      </c>
      <c r="C37" s="193" t="s">
        <v>2391</v>
      </c>
      <c r="D37" s="193" t="s">
        <v>797</v>
      </c>
      <c r="E37" s="195" t="s">
        <v>1039</v>
      </c>
      <c r="F37" s="195" t="s">
        <v>499</v>
      </c>
      <c r="G37" s="193" t="s">
        <v>2345</v>
      </c>
      <c r="H37" s="193" t="s">
        <v>1449</v>
      </c>
      <c r="I37" s="193" t="s">
        <v>447</v>
      </c>
      <c r="J37" s="193" t="s">
        <v>1940</v>
      </c>
      <c r="K37" s="260" t="s">
        <v>459</v>
      </c>
      <c r="L37" s="259" t="s">
        <v>2449</v>
      </c>
      <c r="M37" s="193" t="s">
        <v>4308</v>
      </c>
    </row>
    <row r="38" spans="1:13" ht="77.25" customHeight="1">
      <c r="A38" s="193" t="str">
        <f t="shared" si="0"/>
        <v>InstructionsA40</v>
      </c>
      <c r="B38" s="193" t="s">
        <v>956</v>
      </c>
      <c r="C38" s="193" t="s">
        <v>791</v>
      </c>
      <c r="D38" s="193" t="s">
        <v>4705</v>
      </c>
      <c r="E38" s="195" t="s">
        <v>1040</v>
      </c>
      <c r="F38" s="195" t="s">
        <v>500</v>
      </c>
      <c r="G38" s="193" t="s">
        <v>644</v>
      </c>
      <c r="H38" s="193" t="s">
        <v>812</v>
      </c>
      <c r="I38" s="193" t="s">
        <v>448</v>
      </c>
      <c r="J38" s="193" t="s">
        <v>2558</v>
      </c>
      <c r="K38" s="264" t="s">
        <v>460</v>
      </c>
      <c r="L38" s="259" t="s">
        <v>1120</v>
      </c>
      <c r="M38" s="193" t="s">
        <v>4309</v>
      </c>
    </row>
    <row r="39" spans="1:13" ht="102">
      <c r="A39" s="193" t="str">
        <f t="shared" si="0"/>
        <v>InstructionsA41</v>
      </c>
      <c r="B39" s="193" t="s">
        <v>956</v>
      </c>
      <c r="C39" s="193" t="s">
        <v>1858</v>
      </c>
      <c r="D39" s="194" t="s">
        <v>4148</v>
      </c>
      <c r="E39" s="194" t="s">
        <v>2768</v>
      </c>
      <c r="F39" s="208" t="s">
        <v>4023</v>
      </c>
      <c r="G39" s="194" t="s">
        <v>4004</v>
      </c>
      <c r="H39" s="194" t="s">
        <v>2825</v>
      </c>
      <c r="I39" s="194" t="s">
        <v>2826</v>
      </c>
      <c r="J39" s="194" t="s">
        <v>2827</v>
      </c>
      <c r="K39" s="194" t="s">
        <v>2828</v>
      </c>
      <c r="L39" s="194" t="s">
        <v>2829</v>
      </c>
      <c r="M39" s="194" t="s">
        <v>4310</v>
      </c>
    </row>
    <row r="40" spans="1:13" ht="409.5">
      <c r="A40" s="193" t="str">
        <f t="shared" si="0"/>
        <v>InstructionsA42</v>
      </c>
      <c r="B40" s="193" t="s">
        <v>956</v>
      </c>
      <c r="C40" s="193" t="s">
        <v>2392</v>
      </c>
      <c r="D40" s="193" t="s">
        <v>796</v>
      </c>
      <c r="E40" s="195" t="s">
        <v>2721</v>
      </c>
      <c r="F40" s="195" t="s">
        <v>501</v>
      </c>
      <c r="G40" s="193" t="s">
        <v>4005</v>
      </c>
      <c r="H40" s="266" t="s">
        <v>813</v>
      </c>
      <c r="I40" s="193" t="s">
        <v>449</v>
      </c>
      <c r="J40" s="193" t="s">
        <v>2559</v>
      </c>
      <c r="K40" s="196" t="s">
        <v>272</v>
      </c>
      <c r="L40" s="259" t="s">
        <v>1121</v>
      </c>
      <c r="M40" s="193" t="s">
        <v>4311</v>
      </c>
    </row>
    <row r="41" spans="1:13" ht="114.75">
      <c r="A41" s="193" t="str">
        <f t="shared" si="0"/>
        <v>InstructionsA43</v>
      </c>
      <c r="B41" s="193" t="s">
        <v>956</v>
      </c>
      <c r="C41" s="193" t="s">
        <v>2393</v>
      </c>
      <c r="D41" s="194" t="s">
        <v>2769</v>
      </c>
      <c r="E41" s="194" t="s">
        <v>2770</v>
      </c>
      <c r="F41" s="208" t="s">
        <v>2771</v>
      </c>
      <c r="G41" s="194" t="s">
        <v>2830</v>
      </c>
      <c r="H41" s="194" t="s">
        <v>2831</v>
      </c>
      <c r="I41" s="194" t="s">
        <v>2832</v>
      </c>
      <c r="J41" s="194" t="s">
        <v>2772</v>
      </c>
      <c r="K41" s="194" t="s">
        <v>2833</v>
      </c>
      <c r="L41" s="194" t="s">
        <v>2834</v>
      </c>
      <c r="M41" s="194" t="s">
        <v>4312</v>
      </c>
    </row>
    <row r="42" spans="1:13" ht="42.75">
      <c r="A42" s="193" t="str">
        <f t="shared" si="0"/>
        <v>InstructionsA44</v>
      </c>
      <c r="B42" s="193" t="s">
        <v>956</v>
      </c>
      <c r="C42" s="193" t="s">
        <v>2394</v>
      </c>
      <c r="D42" s="193" t="s">
        <v>795</v>
      </c>
      <c r="E42" s="195" t="s">
        <v>1041</v>
      </c>
      <c r="F42" s="195" t="s">
        <v>1419</v>
      </c>
      <c r="G42" s="193" t="s">
        <v>1450</v>
      </c>
      <c r="H42" s="193" t="s">
        <v>1451</v>
      </c>
      <c r="I42" s="193" t="s">
        <v>450</v>
      </c>
      <c r="J42" s="193" t="s">
        <v>2363</v>
      </c>
      <c r="K42" s="265" t="s">
        <v>273</v>
      </c>
      <c r="L42" s="259" t="s">
        <v>1122</v>
      </c>
      <c r="M42" s="193" t="s">
        <v>4313</v>
      </c>
    </row>
    <row r="43" spans="1:13" ht="270.75">
      <c r="A43" s="193" t="str">
        <f t="shared" si="0"/>
        <v>InstructionsA45</v>
      </c>
      <c r="B43" s="193" t="s">
        <v>956</v>
      </c>
      <c r="C43" s="193" t="s">
        <v>2395</v>
      </c>
      <c r="D43" s="193" t="s">
        <v>794</v>
      </c>
      <c r="E43" s="195" t="s">
        <v>2722</v>
      </c>
      <c r="F43" s="195" t="s">
        <v>502</v>
      </c>
      <c r="G43" s="193" t="s">
        <v>645</v>
      </c>
      <c r="H43" s="193" t="s">
        <v>707</v>
      </c>
      <c r="I43" s="193" t="s">
        <v>451</v>
      </c>
      <c r="J43" s="193" t="s">
        <v>2560</v>
      </c>
      <c r="K43" s="267" t="s">
        <v>274</v>
      </c>
      <c r="L43" s="259" t="s">
        <v>1123</v>
      </c>
      <c r="M43" s="193" t="s">
        <v>4314</v>
      </c>
    </row>
    <row r="44" spans="1:13" ht="71.25">
      <c r="A44" s="193" t="str">
        <f t="shared" si="0"/>
        <v>InstructionsA46</v>
      </c>
      <c r="B44" s="193" t="s">
        <v>956</v>
      </c>
      <c r="C44" s="193" t="s">
        <v>2396</v>
      </c>
      <c r="D44" s="193" t="s">
        <v>793</v>
      </c>
      <c r="E44" s="195" t="s">
        <v>1042</v>
      </c>
      <c r="F44" s="195" t="s">
        <v>1420</v>
      </c>
      <c r="G44" s="193" t="s">
        <v>1452</v>
      </c>
      <c r="H44" s="193" t="s">
        <v>814</v>
      </c>
      <c r="I44" s="193" t="s">
        <v>452</v>
      </c>
      <c r="J44" s="193" t="s">
        <v>2561</v>
      </c>
      <c r="K44" s="260" t="s">
        <v>275</v>
      </c>
      <c r="L44" s="259" t="s">
        <v>1124</v>
      </c>
      <c r="M44" s="193" t="s">
        <v>4315</v>
      </c>
    </row>
    <row r="45" spans="1:13" ht="99.75">
      <c r="A45" s="193" t="str">
        <f t="shared" si="0"/>
        <v>InstructionsA47</v>
      </c>
      <c r="B45" s="193" t="s">
        <v>956</v>
      </c>
      <c r="C45" s="193" t="s">
        <v>2397</v>
      </c>
      <c r="D45" s="193" t="s">
        <v>792</v>
      </c>
      <c r="E45" s="195" t="s">
        <v>1043</v>
      </c>
      <c r="F45" s="195" t="s">
        <v>1421</v>
      </c>
      <c r="G45" s="193" t="s">
        <v>1177</v>
      </c>
      <c r="H45" s="193" t="s">
        <v>815</v>
      </c>
      <c r="I45" s="193" t="s">
        <v>453</v>
      </c>
      <c r="J45" s="193" t="s">
        <v>2364</v>
      </c>
      <c r="K45" s="196" t="s">
        <v>276</v>
      </c>
      <c r="L45" s="259" t="s">
        <v>1125</v>
      </c>
      <c r="M45" s="193" t="s">
        <v>4316</v>
      </c>
    </row>
    <row r="46" spans="1:13" ht="57">
      <c r="A46" s="193" t="str">
        <f t="shared" si="0"/>
        <v>InstructionsA49</v>
      </c>
      <c r="B46" s="193" t="s">
        <v>956</v>
      </c>
      <c r="C46" s="193" t="s">
        <v>2398</v>
      </c>
      <c r="D46" s="193" t="s">
        <v>1903</v>
      </c>
      <c r="E46" s="195" t="s">
        <v>1044</v>
      </c>
      <c r="F46" s="195" t="s">
        <v>1422</v>
      </c>
      <c r="G46" s="193" t="s">
        <v>2353</v>
      </c>
      <c r="H46" s="193" t="s">
        <v>816</v>
      </c>
      <c r="I46" s="193" t="s">
        <v>454</v>
      </c>
      <c r="J46" s="193" t="s">
        <v>2562</v>
      </c>
      <c r="K46" s="260" t="s">
        <v>277</v>
      </c>
      <c r="L46" s="259" t="s">
        <v>1126</v>
      </c>
      <c r="M46" s="193" t="s">
        <v>4317</v>
      </c>
    </row>
    <row r="47" spans="1:13" ht="42.75">
      <c r="A47" s="193" t="str">
        <f t="shared" si="0"/>
        <v>InstructionsA50</v>
      </c>
      <c r="B47" s="193" t="s">
        <v>956</v>
      </c>
      <c r="C47" s="193" t="s">
        <v>2399</v>
      </c>
      <c r="D47" s="193" t="s">
        <v>1494</v>
      </c>
      <c r="E47" s="195" t="s">
        <v>1045</v>
      </c>
      <c r="F47" s="195" t="s">
        <v>1423</v>
      </c>
      <c r="G47" s="193" t="s">
        <v>2354</v>
      </c>
      <c r="H47" s="193" t="s">
        <v>817</v>
      </c>
      <c r="I47" s="193" t="s">
        <v>455</v>
      </c>
      <c r="J47" s="193" t="s">
        <v>2365</v>
      </c>
      <c r="K47" s="260" t="s">
        <v>278</v>
      </c>
      <c r="L47" s="259" t="s">
        <v>1127</v>
      </c>
      <c r="M47" s="193" t="s">
        <v>4318</v>
      </c>
    </row>
    <row r="48" spans="1:13" ht="128.25">
      <c r="A48" s="193" t="str">
        <f t="shared" si="0"/>
        <v>InstructionsA51</v>
      </c>
      <c r="B48" s="193" t="s">
        <v>956</v>
      </c>
      <c r="C48" s="193" t="s">
        <v>2400</v>
      </c>
      <c r="D48" s="193" t="s">
        <v>2335</v>
      </c>
      <c r="E48" s="195" t="s">
        <v>1046</v>
      </c>
      <c r="F48" s="195" t="s">
        <v>1424</v>
      </c>
      <c r="G48" s="193" t="s">
        <v>1182</v>
      </c>
      <c r="H48" s="193" t="s">
        <v>818</v>
      </c>
      <c r="I48" s="193" t="s">
        <v>456</v>
      </c>
      <c r="J48" s="193" t="s">
        <v>2563</v>
      </c>
      <c r="K48" s="260" t="s">
        <v>279</v>
      </c>
      <c r="L48" s="259" t="s">
        <v>1163</v>
      </c>
      <c r="M48" s="193" t="s">
        <v>4319</v>
      </c>
    </row>
    <row r="49" spans="1:256" ht="114">
      <c r="A49" s="248" t="s">
        <v>4699</v>
      </c>
      <c r="B49" s="248" t="s">
        <v>956</v>
      </c>
      <c r="C49" s="248" t="s">
        <v>2401</v>
      </c>
      <c r="D49" s="248" t="s">
        <v>4813</v>
      </c>
      <c r="E49" s="195" t="s">
        <v>4817</v>
      </c>
      <c r="F49" s="195" t="s">
        <v>4823</v>
      </c>
      <c r="G49" s="195" t="s">
        <v>4829</v>
      </c>
      <c r="H49" s="193" t="s">
        <v>4835</v>
      </c>
      <c r="I49" s="193" t="s">
        <v>4841</v>
      </c>
      <c r="J49" s="193" t="s">
        <v>4847</v>
      </c>
      <c r="K49" s="193" t="s">
        <v>4853</v>
      </c>
      <c r="L49" s="193" t="s">
        <v>4859</v>
      </c>
      <c r="M49" s="193" t="s">
        <v>4865</v>
      </c>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33"/>
      <c r="CS49" s="133"/>
      <c r="CT49" s="133"/>
      <c r="CU49" s="133"/>
      <c r="CV49" s="133"/>
      <c r="CW49" s="133"/>
      <c r="CX49" s="133"/>
      <c r="CY49" s="133"/>
      <c r="CZ49" s="133"/>
      <c r="DA49" s="133"/>
      <c r="DB49" s="133"/>
      <c r="DC49" s="133"/>
      <c r="DD49" s="133"/>
      <c r="DE49" s="133"/>
      <c r="DF49" s="133"/>
      <c r="DG49" s="133"/>
      <c r="DH49" s="133"/>
      <c r="DI49" s="133"/>
      <c r="DJ49" s="133"/>
      <c r="DK49" s="133"/>
      <c r="DL49" s="133"/>
      <c r="DM49" s="133"/>
      <c r="DN49" s="133"/>
      <c r="DO49" s="133"/>
      <c r="DP49" s="133"/>
      <c r="DQ49" s="133"/>
      <c r="DR49" s="133"/>
      <c r="DS49" s="133"/>
      <c r="DT49" s="133"/>
      <c r="DU49" s="133"/>
      <c r="DV49" s="133"/>
      <c r="DW49" s="133"/>
      <c r="DX49" s="133"/>
      <c r="DY49" s="133"/>
      <c r="DZ49" s="133"/>
      <c r="EA49" s="133"/>
      <c r="EB49" s="133"/>
      <c r="EC49" s="133"/>
      <c r="ED49" s="133"/>
      <c r="EE49" s="133"/>
      <c r="EF49" s="133"/>
      <c r="EG49" s="133"/>
      <c r="EH49" s="133"/>
      <c r="EI49" s="133"/>
      <c r="EJ49" s="133"/>
      <c r="EK49" s="133"/>
      <c r="EL49" s="133"/>
      <c r="EM49" s="133"/>
      <c r="EN49" s="133"/>
      <c r="EO49" s="133"/>
      <c r="EP49" s="133"/>
      <c r="EQ49" s="133"/>
      <c r="ER49" s="133"/>
      <c r="ES49" s="133"/>
      <c r="ET49" s="133"/>
      <c r="EU49" s="133"/>
      <c r="EV49" s="133"/>
      <c r="EW49" s="133"/>
      <c r="EX49" s="133"/>
      <c r="EY49" s="133"/>
      <c r="EZ49" s="133"/>
      <c r="FA49" s="133"/>
      <c r="FB49" s="133"/>
      <c r="FC49" s="133"/>
      <c r="FD49" s="133"/>
      <c r="FE49" s="133"/>
      <c r="FF49" s="133"/>
      <c r="FG49" s="133"/>
      <c r="FH49" s="133"/>
      <c r="FI49" s="133"/>
      <c r="FJ49" s="133"/>
      <c r="FK49" s="133"/>
      <c r="FL49" s="133"/>
      <c r="FM49" s="133"/>
      <c r="FN49" s="133"/>
      <c r="FO49" s="133"/>
      <c r="FP49" s="133"/>
      <c r="FQ49" s="133"/>
      <c r="FR49" s="133"/>
      <c r="FS49" s="133"/>
      <c r="FT49" s="133"/>
      <c r="FU49" s="133"/>
      <c r="FV49" s="133"/>
      <c r="FW49" s="133"/>
      <c r="FX49" s="133"/>
      <c r="FY49" s="133"/>
      <c r="FZ49" s="133"/>
      <c r="GA49" s="133"/>
      <c r="GB49" s="133"/>
      <c r="GC49" s="133"/>
      <c r="GD49" s="133"/>
      <c r="GE49" s="133"/>
      <c r="GF49" s="133"/>
      <c r="GG49" s="133"/>
      <c r="GH49" s="133"/>
      <c r="GI49" s="133"/>
      <c r="GJ49" s="133"/>
      <c r="GK49" s="133"/>
      <c r="GL49" s="133"/>
      <c r="GM49" s="133"/>
      <c r="GN49" s="133"/>
      <c r="GO49" s="133"/>
      <c r="GP49" s="133"/>
      <c r="GQ49" s="133"/>
      <c r="GR49" s="133"/>
      <c r="GS49" s="133"/>
      <c r="GT49" s="133"/>
      <c r="GU49" s="133"/>
      <c r="GV49" s="133"/>
      <c r="GW49" s="133"/>
      <c r="GX49" s="133"/>
      <c r="GY49" s="133"/>
      <c r="GZ49" s="133"/>
      <c r="HA49" s="133"/>
      <c r="HB49" s="133"/>
      <c r="HC49" s="133"/>
      <c r="HD49" s="133"/>
      <c r="HE49" s="133"/>
      <c r="HF49" s="133"/>
      <c r="HG49" s="133"/>
      <c r="HH49" s="133"/>
      <c r="HI49" s="133"/>
      <c r="HJ49" s="133"/>
      <c r="HK49" s="133"/>
      <c r="HL49" s="133"/>
      <c r="HM49" s="133"/>
      <c r="HN49" s="133"/>
      <c r="HO49" s="133"/>
      <c r="HP49" s="133"/>
      <c r="HQ49" s="133"/>
      <c r="HR49" s="133"/>
      <c r="HS49" s="133"/>
      <c r="HT49" s="133"/>
      <c r="HU49" s="133"/>
      <c r="HV49" s="133"/>
      <c r="HW49" s="133"/>
      <c r="HX49" s="133"/>
      <c r="HY49" s="133"/>
      <c r="HZ49" s="133"/>
      <c r="IA49" s="133"/>
      <c r="IB49" s="133"/>
      <c r="IC49" s="133"/>
      <c r="ID49" s="133"/>
      <c r="IE49" s="133"/>
      <c r="IF49" s="133"/>
      <c r="IG49" s="133"/>
      <c r="IH49" s="133"/>
      <c r="II49" s="133"/>
      <c r="IJ49" s="133"/>
      <c r="IK49" s="133"/>
      <c r="IL49" s="133"/>
      <c r="IM49" s="133"/>
      <c r="IN49" s="133"/>
      <c r="IO49" s="133"/>
      <c r="IP49" s="133"/>
      <c r="IQ49" s="133"/>
      <c r="IR49" s="133"/>
      <c r="IS49" s="133"/>
      <c r="IT49" s="133"/>
      <c r="IU49" s="133"/>
      <c r="IV49" s="133"/>
    </row>
    <row r="50" spans="1:256" ht="71.25">
      <c r="A50" s="193" t="str">
        <f>B50&amp;C50</f>
        <v>InstructionsA53</v>
      </c>
      <c r="B50" s="193" t="s">
        <v>956</v>
      </c>
      <c r="C50" s="193" t="s">
        <v>2402</v>
      </c>
      <c r="D50" s="193" t="s">
        <v>4709</v>
      </c>
      <c r="E50" s="195" t="s">
        <v>4720</v>
      </c>
      <c r="F50" s="195" t="s">
        <v>4721</v>
      </c>
      <c r="G50" s="193" t="s">
        <v>4722</v>
      </c>
      <c r="H50" s="193" t="s">
        <v>4723</v>
      </c>
      <c r="I50" s="193" t="s">
        <v>4724</v>
      </c>
      <c r="J50" s="193" t="s">
        <v>4725</v>
      </c>
      <c r="K50" s="264" t="s">
        <v>4726</v>
      </c>
      <c r="L50" s="259" t="s">
        <v>4727</v>
      </c>
      <c r="M50" s="247" t="s">
        <v>4728</v>
      </c>
    </row>
    <row r="51" spans="1:256" ht="229.5">
      <c r="A51" s="193" t="str">
        <f t="shared" si="0"/>
        <v>InstructionsA54</v>
      </c>
      <c r="B51" s="193" t="s">
        <v>956</v>
      </c>
      <c r="C51" s="193" t="s">
        <v>2403</v>
      </c>
      <c r="D51" s="193" t="s">
        <v>4816</v>
      </c>
      <c r="E51" s="195" t="s">
        <v>4818</v>
      </c>
      <c r="F51" s="195" t="s">
        <v>4824</v>
      </c>
      <c r="G51" s="193" t="s">
        <v>4830</v>
      </c>
      <c r="H51" s="193" t="s">
        <v>4836</v>
      </c>
      <c r="I51" s="193" t="s">
        <v>4842</v>
      </c>
      <c r="J51" s="193" t="s">
        <v>4848</v>
      </c>
      <c r="K51" s="264" t="s">
        <v>4854</v>
      </c>
      <c r="L51" s="259" t="s">
        <v>4860</v>
      </c>
      <c r="M51" s="247" t="s">
        <v>4866</v>
      </c>
    </row>
    <row r="52" spans="1:256" ht="114">
      <c r="A52" s="193" t="str">
        <f t="shared" si="0"/>
        <v>InstructionsA55</v>
      </c>
      <c r="B52" s="193" t="s">
        <v>956</v>
      </c>
      <c r="C52" s="193" t="s">
        <v>2404</v>
      </c>
      <c r="D52" s="193" t="s">
        <v>4710</v>
      </c>
      <c r="E52" s="195" t="s">
        <v>4732</v>
      </c>
      <c r="F52" s="195" t="s">
        <v>4733</v>
      </c>
      <c r="G52" s="193" t="s">
        <v>4734</v>
      </c>
      <c r="H52" s="266" t="s">
        <v>4735</v>
      </c>
      <c r="I52" s="193" t="s">
        <v>4736</v>
      </c>
      <c r="J52" s="193" t="s">
        <v>4737</v>
      </c>
      <c r="K52" s="196" t="s">
        <v>4731</v>
      </c>
      <c r="L52" s="259" t="s">
        <v>4730</v>
      </c>
      <c r="M52" s="247" t="s">
        <v>4729</v>
      </c>
    </row>
    <row r="53" spans="1:256" ht="128.25">
      <c r="A53" s="193" t="str">
        <f t="shared" si="0"/>
        <v>InstructionsA56</v>
      </c>
      <c r="B53" s="193" t="s">
        <v>956</v>
      </c>
      <c r="C53" s="193" t="s">
        <v>2405</v>
      </c>
      <c r="D53" s="193" t="s">
        <v>4711</v>
      </c>
      <c r="E53" s="268" t="s">
        <v>4738</v>
      </c>
      <c r="F53" s="195" t="s">
        <v>4739</v>
      </c>
      <c r="G53" s="193" t="s">
        <v>4740</v>
      </c>
      <c r="H53" s="193" t="s">
        <v>4741</v>
      </c>
      <c r="I53" s="193" t="s">
        <v>4742</v>
      </c>
      <c r="J53" s="193" t="s">
        <v>4743</v>
      </c>
      <c r="K53" s="196" t="s">
        <v>4744</v>
      </c>
      <c r="L53" s="259" t="s">
        <v>4745</v>
      </c>
      <c r="M53" s="247" t="s">
        <v>4746</v>
      </c>
    </row>
    <row r="54" spans="1:256" ht="185.25">
      <c r="A54" s="193" t="str">
        <f>B54&amp;C54</f>
        <v>InstructionsA57</v>
      </c>
      <c r="B54" s="193" t="s">
        <v>956</v>
      </c>
      <c r="C54" s="193" t="s">
        <v>799</v>
      </c>
      <c r="D54" s="193" t="s">
        <v>4712</v>
      </c>
      <c r="E54" s="195" t="s">
        <v>4747</v>
      </c>
      <c r="F54" s="195" t="s">
        <v>4748</v>
      </c>
      <c r="G54" s="193" t="s">
        <v>4749</v>
      </c>
      <c r="H54" s="193" t="s">
        <v>4750</v>
      </c>
      <c r="I54" s="193" t="s">
        <v>4751</v>
      </c>
      <c r="J54" s="193" t="s">
        <v>4752</v>
      </c>
      <c r="K54" s="196" t="s">
        <v>4753</v>
      </c>
      <c r="L54" s="259" t="s">
        <v>4754</v>
      </c>
      <c r="M54" s="247" t="s">
        <v>4755</v>
      </c>
    </row>
    <row r="55" spans="1:256" ht="114">
      <c r="A55" s="193" t="str">
        <f>B55&amp;C55</f>
        <v>InstructionsA58</v>
      </c>
      <c r="B55" s="193" t="s">
        <v>956</v>
      </c>
      <c r="C55" s="193" t="s">
        <v>2406</v>
      </c>
      <c r="D55" s="193" t="s">
        <v>4713</v>
      </c>
      <c r="E55" s="195" t="s">
        <v>4756</v>
      </c>
      <c r="F55" s="195" t="s">
        <v>4757</v>
      </c>
      <c r="G55" s="193" t="s">
        <v>4758</v>
      </c>
      <c r="H55" s="193" t="s">
        <v>4759</v>
      </c>
      <c r="I55" s="193" t="s">
        <v>4760</v>
      </c>
      <c r="J55" s="193" t="s">
        <v>4761</v>
      </c>
      <c r="K55" s="196" t="s">
        <v>4762</v>
      </c>
      <c r="L55" s="259" t="s">
        <v>4763</v>
      </c>
      <c r="M55" s="247" t="s">
        <v>4764</v>
      </c>
    </row>
    <row r="56" spans="1:256" ht="63.75">
      <c r="A56" s="193" t="str">
        <f t="shared" si="0"/>
        <v>InstructionsA59</v>
      </c>
      <c r="B56" s="193" t="s">
        <v>956</v>
      </c>
      <c r="C56" s="193" t="s">
        <v>2407</v>
      </c>
      <c r="D56" s="194" t="s">
        <v>4714</v>
      </c>
      <c r="E56" s="194" t="s">
        <v>4796</v>
      </c>
      <c r="F56" s="208" t="s">
        <v>4765</v>
      </c>
      <c r="G56" s="194" t="s">
        <v>4766</v>
      </c>
      <c r="H56" s="194" t="s">
        <v>4767</v>
      </c>
      <c r="I56" s="194" t="s">
        <v>4768</v>
      </c>
      <c r="J56" s="194" t="s">
        <v>4769</v>
      </c>
      <c r="K56" s="194" t="s">
        <v>4770</v>
      </c>
      <c r="L56" s="194" t="s">
        <v>4771</v>
      </c>
      <c r="M56" s="246" t="s">
        <v>4772</v>
      </c>
    </row>
    <row r="57" spans="1:256" ht="63.75">
      <c r="A57" s="193" t="str">
        <f t="shared" si="0"/>
        <v>InstructionsA60</v>
      </c>
      <c r="B57" s="193" t="s">
        <v>956</v>
      </c>
      <c r="C57" s="193" t="s">
        <v>2408</v>
      </c>
      <c r="D57" s="194" t="s">
        <v>4715</v>
      </c>
      <c r="E57" s="194" t="s">
        <v>4797</v>
      </c>
      <c r="F57" s="208" t="s">
        <v>4773</v>
      </c>
      <c r="G57" s="194" t="s">
        <v>4774</v>
      </c>
      <c r="H57" s="194" t="s">
        <v>4775</v>
      </c>
      <c r="I57" s="194" t="s">
        <v>4776</v>
      </c>
      <c r="J57" s="194" t="s">
        <v>4777</v>
      </c>
      <c r="K57" s="194" t="s">
        <v>4778</v>
      </c>
      <c r="L57" s="194" t="s">
        <v>4779</v>
      </c>
      <c r="M57" s="246" t="s">
        <v>4780</v>
      </c>
    </row>
    <row r="58" spans="1:256" ht="63.75">
      <c r="A58" s="193" t="str">
        <f t="shared" si="0"/>
        <v>InstructionsA61</v>
      </c>
      <c r="B58" s="193" t="s">
        <v>956</v>
      </c>
      <c r="C58" s="193" t="s">
        <v>2409</v>
      </c>
      <c r="D58" s="194" t="s">
        <v>4716</v>
      </c>
      <c r="E58" s="194" t="s">
        <v>4798</v>
      </c>
      <c r="F58" s="208" t="s">
        <v>4781</v>
      </c>
      <c r="G58" s="194" t="s">
        <v>4782</v>
      </c>
      <c r="H58" s="194" t="s">
        <v>4783</v>
      </c>
      <c r="I58" s="194" t="s">
        <v>4784</v>
      </c>
      <c r="J58" s="194" t="s">
        <v>4785</v>
      </c>
      <c r="K58" s="194" t="s">
        <v>4786</v>
      </c>
      <c r="L58" s="194" t="s">
        <v>4787</v>
      </c>
      <c r="M58" s="246" t="s">
        <v>4788</v>
      </c>
    </row>
    <row r="59" spans="1:256" ht="409.5">
      <c r="A59" s="193" t="str">
        <f t="shared" si="0"/>
        <v>InstructionsA62</v>
      </c>
      <c r="B59" s="193" t="s">
        <v>956</v>
      </c>
      <c r="C59" s="193" t="s">
        <v>2410</v>
      </c>
      <c r="D59" s="193" t="s">
        <v>4717</v>
      </c>
      <c r="E59" s="195" t="s">
        <v>4799</v>
      </c>
      <c r="F59" s="195" t="s">
        <v>4800</v>
      </c>
      <c r="G59" s="259" t="s">
        <v>4789</v>
      </c>
      <c r="H59" s="193" t="s">
        <v>4790</v>
      </c>
      <c r="I59" s="193" t="s">
        <v>4791</v>
      </c>
      <c r="J59" s="193" t="s">
        <v>4792</v>
      </c>
      <c r="K59" s="196" t="s">
        <v>4793</v>
      </c>
      <c r="L59" s="259" t="s">
        <v>4794</v>
      </c>
      <c r="M59" s="247" t="s">
        <v>4795</v>
      </c>
    </row>
    <row r="60" spans="1:256" ht="142.5">
      <c r="A60" s="193" t="str">
        <f t="shared" si="0"/>
        <v>InstructionsA63</v>
      </c>
      <c r="B60" s="193" t="s">
        <v>956</v>
      </c>
      <c r="C60" s="193" t="s">
        <v>2411</v>
      </c>
      <c r="D60" s="193" t="s">
        <v>4718</v>
      </c>
      <c r="E60" s="195" t="s">
        <v>4801</v>
      </c>
      <c r="F60" s="195" t="s">
        <v>4802</v>
      </c>
      <c r="G60" s="193" t="s">
        <v>4803</v>
      </c>
      <c r="H60" s="193" t="s">
        <v>4804</v>
      </c>
      <c r="I60" s="193" t="s">
        <v>4805</v>
      </c>
      <c r="J60" s="193" t="s">
        <v>4806</v>
      </c>
      <c r="K60" s="196" t="s">
        <v>4807</v>
      </c>
      <c r="L60" s="259" t="s">
        <v>4808</v>
      </c>
      <c r="M60" s="247" t="s">
        <v>4809</v>
      </c>
    </row>
    <row r="61" spans="1:256" ht="242.25">
      <c r="A61" s="193" t="str">
        <f t="shared" si="0"/>
        <v>InstructionsA64</v>
      </c>
      <c r="B61" s="193" t="s">
        <v>956</v>
      </c>
      <c r="C61" s="193" t="s">
        <v>2412</v>
      </c>
      <c r="D61" s="193" t="s">
        <v>4933</v>
      </c>
      <c r="E61" s="195" t="s">
        <v>4671</v>
      </c>
      <c r="F61" s="195" t="s">
        <v>4672</v>
      </c>
      <c r="G61" s="193" t="s">
        <v>4673</v>
      </c>
      <c r="H61" s="193" t="s">
        <v>4674</v>
      </c>
      <c r="I61" s="193" t="s">
        <v>4675</v>
      </c>
      <c r="J61" s="193" t="s">
        <v>4676</v>
      </c>
      <c r="K61" s="196" t="s">
        <v>4677</v>
      </c>
      <c r="L61" s="259" t="s">
        <v>4678</v>
      </c>
      <c r="M61" s="247" t="s">
        <v>4679</v>
      </c>
    </row>
    <row r="62" spans="1:256" ht="270.75">
      <c r="A62" s="193" t="str">
        <f t="shared" si="0"/>
        <v>InstructionsA65</v>
      </c>
      <c r="B62" s="193" t="s">
        <v>956</v>
      </c>
      <c r="C62" s="193" t="s">
        <v>1192</v>
      </c>
      <c r="D62" s="193" t="s">
        <v>4934</v>
      </c>
      <c r="E62" s="195" t="s">
        <v>4680</v>
      </c>
      <c r="F62" s="195" t="s">
        <v>4681</v>
      </c>
      <c r="G62" s="193" t="s">
        <v>4682</v>
      </c>
      <c r="H62" s="193" t="s">
        <v>4683</v>
      </c>
      <c r="I62" s="193" t="s">
        <v>4684</v>
      </c>
      <c r="J62" s="193" t="s">
        <v>4685</v>
      </c>
      <c r="K62" s="196" t="s">
        <v>4686</v>
      </c>
      <c r="L62" s="259" t="s">
        <v>4687</v>
      </c>
      <c r="M62" s="247" t="s">
        <v>4688</v>
      </c>
    </row>
    <row r="63" spans="1:256" ht="142.5">
      <c r="A63" s="193" t="str">
        <f>B63&amp;C63</f>
        <v>InstructionsA66</v>
      </c>
      <c r="B63" s="193" t="s">
        <v>956</v>
      </c>
      <c r="C63" s="193" t="s">
        <v>1193</v>
      </c>
      <c r="D63" s="193" t="s">
        <v>1194</v>
      </c>
      <c r="E63" s="195" t="s">
        <v>1047</v>
      </c>
      <c r="F63" s="195" t="s">
        <v>503</v>
      </c>
      <c r="G63" s="193" t="s">
        <v>646</v>
      </c>
      <c r="H63" s="193" t="s">
        <v>819</v>
      </c>
      <c r="I63" s="193" t="s">
        <v>99</v>
      </c>
      <c r="J63" s="193" t="s">
        <v>2564</v>
      </c>
      <c r="K63" s="196" t="s">
        <v>280</v>
      </c>
      <c r="L63" s="259" t="s">
        <v>19</v>
      </c>
      <c r="M63" s="193" t="s">
        <v>4320</v>
      </c>
    </row>
    <row r="64" spans="1:256" ht="57">
      <c r="A64" s="193" t="str">
        <f t="shared" si="0"/>
        <v>InstructionsA67</v>
      </c>
      <c r="B64" s="193" t="s">
        <v>956</v>
      </c>
      <c r="C64" s="193" t="s">
        <v>1196</v>
      </c>
      <c r="D64" s="193" t="s">
        <v>1195</v>
      </c>
      <c r="E64" s="195" t="s">
        <v>4719</v>
      </c>
      <c r="F64" s="195" t="s">
        <v>820</v>
      </c>
      <c r="G64" s="193" t="s">
        <v>1197</v>
      </c>
      <c r="H64" s="193" t="s">
        <v>568</v>
      </c>
      <c r="I64" s="193" t="s">
        <v>100</v>
      </c>
      <c r="J64" s="193" t="s">
        <v>1198</v>
      </c>
      <c r="K64" s="196" t="s">
        <v>281</v>
      </c>
      <c r="L64" s="259" t="s">
        <v>1199</v>
      </c>
      <c r="M64" s="193" t="s">
        <v>4321</v>
      </c>
    </row>
    <row r="65" spans="1:13" ht="270.75">
      <c r="A65" s="193" t="str">
        <f>B65&amp;C65</f>
        <v>InstructionsA69</v>
      </c>
      <c r="B65" s="193" t="s">
        <v>956</v>
      </c>
      <c r="C65" s="193" t="s">
        <v>1200</v>
      </c>
      <c r="D65" s="193" t="s">
        <v>1208</v>
      </c>
      <c r="E65" s="195" t="s">
        <v>1048</v>
      </c>
      <c r="F65" s="195" t="s">
        <v>821</v>
      </c>
      <c r="G65" s="193" t="s">
        <v>647</v>
      </c>
      <c r="H65" s="195" t="s">
        <v>2723</v>
      </c>
      <c r="I65" s="193" t="s">
        <v>101</v>
      </c>
      <c r="J65" s="193" t="s">
        <v>2598</v>
      </c>
      <c r="K65" s="196" t="s">
        <v>282</v>
      </c>
      <c r="L65" s="259" t="s">
        <v>217</v>
      </c>
      <c r="M65" s="193" t="s">
        <v>4322</v>
      </c>
    </row>
    <row r="66" spans="1:13" ht="57">
      <c r="A66" s="193" t="str">
        <f t="shared" si="0"/>
        <v>InstructionsA71</v>
      </c>
      <c r="B66" s="193" t="s">
        <v>956</v>
      </c>
      <c r="C66" s="193" t="s">
        <v>1201</v>
      </c>
      <c r="D66" s="193" t="s">
        <v>1769</v>
      </c>
      <c r="E66" s="193" t="s">
        <v>2355</v>
      </c>
      <c r="F66" s="195" t="s">
        <v>2356</v>
      </c>
      <c r="G66" s="193" t="s">
        <v>1911</v>
      </c>
      <c r="H66" s="195" t="s">
        <v>569</v>
      </c>
      <c r="I66" s="193" t="s">
        <v>2357</v>
      </c>
      <c r="J66" s="193" t="s">
        <v>2358</v>
      </c>
      <c r="K66" s="196"/>
      <c r="L66" s="259" t="s">
        <v>2454</v>
      </c>
      <c r="M66" s="193" t="s">
        <v>4323</v>
      </c>
    </row>
    <row r="67" spans="1:13" ht="409.5">
      <c r="A67" s="193" t="str">
        <f t="shared" si="0"/>
        <v>InstructionsA72</v>
      </c>
      <c r="B67" s="193" t="s">
        <v>956</v>
      </c>
      <c r="C67" s="193" t="s">
        <v>1202</v>
      </c>
      <c r="D67" s="193" t="s">
        <v>1770</v>
      </c>
      <c r="E67" s="193" t="s">
        <v>1049</v>
      </c>
      <c r="F67" s="195" t="s">
        <v>2359</v>
      </c>
      <c r="G67" s="193" t="s">
        <v>1178</v>
      </c>
      <c r="H67" s="195" t="s">
        <v>191</v>
      </c>
      <c r="I67" s="193" t="s">
        <v>102</v>
      </c>
      <c r="J67" s="193" t="s">
        <v>2599</v>
      </c>
      <c r="K67" s="196" t="s">
        <v>283</v>
      </c>
      <c r="L67" s="259" t="s">
        <v>1183</v>
      </c>
      <c r="M67" s="193" t="s">
        <v>4324</v>
      </c>
    </row>
    <row r="68" spans="1:13" ht="242.25">
      <c r="A68" s="193" t="str">
        <f t="shared" si="0"/>
        <v>InstructionsA73</v>
      </c>
      <c r="B68" s="193" t="s">
        <v>956</v>
      </c>
      <c r="C68" s="193" t="s">
        <v>1203</v>
      </c>
      <c r="D68" s="193" t="s">
        <v>1793</v>
      </c>
      <c r="E68" s="193" t="s">
        <v>1050</v>
      </c>
      <c r="F68" s="195" t="s">
        <v>1454</v>
      </c>
      <c r="G68" s="193" t="s">
        <v>1455</v>
      </c>
      <c r="H68" s="195" t="s">
        <v>570</v>
      </c>
      <c r="I68" s="193" t="s">
        <v>103</v>
      </c>
      <c r="J68" s="193" t="s">
        <v>2600</v>
      </c>
      <c r="K68" s="196" t="s">
        <v>1677</v>
      </c>
      <c r="L68" s="259" t="s">
        <v>2455</v>
      </c>
      <c r="M68" s="193" t="s">
        <v>4325</v>
      </c>
    </row>
    <row r="69" spans="1:13" ht="213.75">
      <c r="A69" s="193" t="str">
        <f t="shared" si="0"/>
        <v>InstructionsA74</v>
      </c>
      <c r="B69" s="193" t="s">
        <v>956</v>
      </c>
      <c r="C69" s="193" t="s">
        <v>1204</v>
      </c>
      <c r="D69" s="193" t="s">
        <v>1794</v>
      </c>
      <c r="E69" s="193" t="s">
        <v>1051</v>
      </c>
      <c r="F69" s="195" t="s">
        <v>1456</v>
      </c>
      <c r="G69" s="193" t="s">
        <v>1457</v>
      </c>
      <c r="H69" s="195" t="s">
        <v>192</v>
      </c>
      <c r="I69" s="193" t="s">
        <v>104</v>
      </c>
      <c r="J69" s="193" t="s">
        <v>1458</v>
      </c>
      <c r="K69" s="196" t="s">
        <v>284</v>
      </c>
      <c r="L69" s="259" t="s">
        <v>2456</v>
      </c>
      <c r="M69" s="193" t="s">
        <v>4326</v>
      </c>
    </row>
    <row r="70" spans="1:13" ht="409.5">
      <c r="A70" s="193" t="str">
        <f t="shared" si="0"/>
        <v>InstructionsA75</v>
      </c>
      <c r="B70" s="193" t="s">
        <v>956</v>
      </c>
      <c r="C70" s="193" t="s">
        <v>1205</v>
      </c>
      <c r="D70" s="193" t="s">
        <v>1810</v>
      </c>
      <c r="E70" s="193" t="s">
        <v>1052</v>
      </c>
      <c r="F70" s="195" t="s">
        <v>1860</v>
      </c>
      <c r="G70" s="193" t="s">
        <v>1811</v>
      </c>
      <c r="H70" s="195" t="s">
        <v>193</v>
      </c>
      <c r="I70" s="193" t="s">
        <v>105</v>
      </c>
      <c r="J70" s="193" t="s">
        <v>2438</v>
      </c>
      <c r="K70" s="196" t="s">
        <v>1859</v>
      </c>
      <c r="L70" s="259" t="s">
        <v>2360</v>
      </c>
      <c r="M70" s="193" t="s">
        <v>4327</v>
      </c>
    </row>
    <row r="71" spans="1:13" ht="142.5">
      <c r="A71" s="193" t="str">
        <f t="shared" si="0"/>
        <v>InstructionsA76</v>
      </c>
      <c r="B71" s="193" t="s">
        <v>956</v>
      </c>
      <c r="C71" s="193" t="s">
        <v>1206</v>
      </c>
      <c r="D71" s="193" t="s">
        <v>1795</v>
      </c>
      <c r="E71" s="193" t="s">
        <v>1053</v>
      </c>
      <c r="F71" s="195" t="s">
        <v>1861</v>
      </c>
      <c r="G71" s="193" t="s">
        <v>1459</v>
      </c>
      <c r="H71" s="195" t="s">
        <v>194</v>
      </c>
      <c r="I71" s="193" t="s">
        <v>106</v>
      </c>
      <c r="J71" s="193" t="s">
        <v>2601</v>
      </c>
      <c r="K71" s="196" t="s">
        <v>2280</v>
      </c>
      <c r="L71" s="259" t="s">
        <v>2457</v>
      </c>
      <c r="M71" s="193" t="s">
        <v>4328</v>
      </c>
    </row>
    <row r="72" spans="1:13" ht="57">
      <c r="A72" s="193" t="str">
        <f t="shared" si="0"/>
        <v>InstructionsA77</v>
      </c>
      <c r="B72" s="193" t="s">
        <v>956</v>
      </c>
      <c r="C72" s="193" t="s">
        <v>1207</v>
      </c>
      <c r="D72" s="193" t="s">
        <v>1796</v>
      </c>
      <c r="E72" s="193" t="s">
        <v>1460</v>
      </c>
      <c r="F72" s="195" t="s">
        <v>1461</v>
      </c>
      <c r="G72" s="193" t="s">
        <v>1462</v>
      </c>
      <c r="H72" s="195" t="s">
        <v>195</v>
      </c>
      <c r="I72" s="193" t="s">
        <v>107</v>
      </c>
      <c r="J72" s="193" t="s">
        <v>1941</v>
      </c>
      <c r="K72" s="196" t="s">
        <v>2281</v>
      </c>
      <c r="L72" s="259" t="s">
        <v>2458</v>
      </c>
      <c r="M72" s="193" t="s">
        <v>4329</v>
      </c>
    </row>
    <row r="73" spans="1:13">
      <c r="A73" s="193" t="str">
        <f t="shared" si="0"/>
        <v>DefinitionsB2</v>
      </c>
      <c r="B73" s="193" t="s">
        <v>1812</v>
      </c>
      <c r="C73" s="193" t="s">
        <v>1862</v>
      </c>
      <c r="D73" s="193" t="s">
        <v>1942</v>
      </c>
      <c r="E73" s="193" t="s">
        <v>1507</v>
      </c>
      <c r="F73" s="195" t="s">
        <v>1994</v>
      </c>
      <c r="G73" s="193" t="s">
        <v>1512</v>
      </c>
      <c r="H73" s="195" t="s">
        <v>1942</v>
      </c>
      <c r="I73" s="193" t="s">
        <v>108</v>
      </c>
      <c r="J73" s="193" t="s">
        <v>1943</v>
      </c>
      <c r="K73" s="196" t="s">
        <v>2282</v>
      </c>
      <c r="L73" s="259" t="s">
        <v>1128</v>
      </c>
      <c r="M73" s="193" t="s">
        <v>4330</v>
      </c>
    </row>
    <row r="74" spans="1:13" ht="27">
      <c r="A74" s="193" t="str">
        <f>B74&amp;C74</f>
        <v>DefinitionsB3</v>
      </c>
      <c r="B74" s="193" t="s">
        <v>1812</v>
      </c>
      <c r="C74" s="193" t="s">
        <v>1813</v>
      </c>
      <c r="D74" s="193" t="s">
        <v>1873</v>
      </c>
      <c r="E74" s="195" t="s">
        <v>1054</v>
      </c>
      <c r="F74" s="195" t="s">
        <v>1873</v>
      </c>
      <c r="G74" s="193" t="s">
        <v>1873</v>
      </c>
      <c r="H74" s="195" t="s">
        <v>1873</v>
      </c>
      <c r="I74" s="193" t="s">
        <v>1873</v>
      </c>
      <c r="J74" s="193" t="s">
        <v>1873</v>
      </c>
      <c r="K74" s="196" t="s">
        <v>1873</v>
      </c>
      <c r="L74" s="259" t="s">
        <v>1873</v>
      </c>
      <c r="M74" s="193" t="s">
        <v>4331</v>
      </c>
    </row>
    <row r="75" spans="1:13">
      <c r="A75" s="193" t="str">
        <f t="shared" si="0"/>
        <v>DefinitionsB4</v>
      </c>
      <c r="B75" s="193" t="s">
        <v>1812</v>
      </c>
      <c r="C75" s="193" t="s">
        <v>1814</v>
      </c>
      <c r="D75" s="193" t="s">
        <v>1875</v>
      </c>
      <c r="E75" s="195" t="s">
        <v>1055</v>
      </c>
      <c r="F75" s="195" t="s">
        <v>822</v>
      </c>
      <c r="G75" s="193" t="s">
        <v>648</v>
      </c>
      <c r="H75" s="195" t="s">
        <v>181</v>
      </c>
      <c r="I75" s="193" t="s">
        <v>109</v>
      </c>
      <c r="J75" s="193" t="s">
        <v>2565</v>
      </c>
      <c r="K75" s="196" t="s">
        <v>285</v>
      </c>
      <c r="L75" s="259" t="s">
        <v>218</v>
      </c>
      <c r="M75" s="193" t="s">
        <v>4332</v>
      </c>
    </row>
    <row r="76" spans="1:13" ht="28.5">
      <c r="A76" s="193" t="str">
        <f t="shared" si="0"/>
        <v>DefinitionsB5</v>
      </c>
      <c r="B76" s="193" t="s">
        <v>1812</v>
      </c>
      <c r="C76" s="193" t="s">
        <v>1815</v>
      </c>
      <c r="D76" s="193" t="s">
        <v>1877</v>
      </c>
      <c r="E76" s="195" t="s">
        <v>1056</v>
      </c>
      <c r="F76" s="195" t="s">
        <v>1944</v>
      </c>
      <c r="G76" s="193" t="s">
        <v>1179</v>
      </c>
      <c r="H76" s="193" t="s">
        <v>571</v>
      </c>
      <c r="I76" s="193" t="s">
        <v>110</v>
      </c>
      <c r="J76" s="193" t="s">
        <v>142</v>
      </c>
      <c r="K76" s="196" t="s">
        <v>2283</v>
      </c>
      <c r="L76" s="259" t="s">
        <v>1129</v>
      </c>
      <c r="M76" s="193" t="s">
        <v>4333</v>
      </c>
    </row>
    <row r="77" spans="1:13" ht="28.5">
      <c r="A77" s="193" t="str">
        <f t="shared" si="0"/>
        <v>DefinitionsB6</v>
      </c>
      <c r="B77" s="193" t="s">
        <v>1812</v>
      </c>
      <c r="C77" s="193" t="s">
        <v>1816</v>
      </c>
      <c r="D77" s="193" t="s">
        <v>1878</v>
      </c>
      <c r="E77" s="195" t="s">
        <v>1057</v>
      </c>
      <c r="F77" s="195" t="s">
        <v>2009</v>
      </c>
      <c r="G77" s="193" t="s">
        <v>1180</v>
      </c>
      <c r="H77" s="195" t="s">
        <v>572</v>
      </c>
      <c r="I77" s="193" t="s">
        <v>111</v>
      </c>
      <c r="J77" s="193" t="s">
        <v>143</v>
      </c>
      <c r="K77" s="196" t="s">
        <v>2284</v>
      </c>
      <c r="L77" s="259" t="s">
        <v>1130</v>
      </c>
      <c r="M77" s="193" t="s">
        <v>4334</v>
      </c>
    </row>
    <row r="78" spans="1:13" ht="28.5">
      <c r="A78" s="193" t="str">
        <f t="shared" si="0"/>
        <v>DefinitionsB7</v>
      </c>
      <c r="B78" s="193" t="s">
        <v>1812</v>
      </c>
      <c r="C78" s="193" t="s">
        <v>1817</v>
      </c>
      <c r="D78" s="193" t="s">
        <v>1880</v>
      </c>
      <c r="E78" s="195" t="s">
        <v>1058</v>
      </c>
      <c r="F78" s="195" t="s">
        <v>823</v>
      </c>
      <c r="G78" s="193" t="s">
        <v>649</v>
      </c>
      <c r="H78" s="195" t="s">
        <v>573</v>
      </c>
      <c r="I78" s="193" t="s">
        <v>112</v>
      </c>
      <c r="J78" s="193" t="s">
        <v>144</v>
      </c>
      <c r="K78" s="196" t="s">
        <v>286</v>
      </c>
      <c r="L78" s="259" t="s">
        <v>219</v>
      </c>
      <c r="M78" s="193" t="s">
        <v>4335</v>
      </c>
    </row>
    <row r="79" spans="1:13" ht="27">
      <c r="A79" s="193" t="str">
        <f t="shared" si="0"/>
        <v>DefinitionsB8</v>
      </c>
      <c r="B79" s="193" t="s">
        <v>1812</v>
      </c>
      <c r="C79" s="193" t="s">
        <v>1818</v>
      </c>
      <c r="D79" s="193" t="s">
        <v>1499</v>
      </c>
      <c r="E79" s="195" t="s">
        <v>1059</v>
      </c>
      <c r="F79" s="195" t="s">
        <v>2010</v>
      </c>
      <c r="G79" s="193" t="s">
        <v>1181</v>
      </c>
      <c r="H79" s="193" t="s">
        <v>1945</v>
      </c>
      <c r="I79" s="193" t="s">
        <v>113</v>
      </c>
      <c r="J79" s="193" t="s">
        <v>2442</v>
      </c>
      <c r="K79" s="196" t="s">
        <v>2285</v>
      </c>
      <c r="L79" s="259" t="s">
        <v>1131</v>
      </c>
      <c r="M79" s="193" t="s">
        <v>4336</v>
      </c>
    </row>
    <row r="80" spans="1:13">
      <c r="A80" s="193" t="str">
        <f>B80&amp;C80</f>
        <v>DefinitionsB9</v>
      </c>
      <c r="B80" s="193" t="s">
        <v>1812</v>
      </c>
      <c r="C80" s="193" t="s">
        <v>1819</v>
      </c>
      <c r="D80" s="193" t="s">
        <v>1882</v>
      </c>
      <c r="E80" s="195" t="s">
        <v>1060</v>
      </c>
      <c r="F80" s="195" t="s">
        <v>824</v>
      </c>
      <c r="G80" s="193" t="s">
        <v>650</v>
      </c>
      <c r="H80" s="193" t="s">
        <v>574</v>
      </c>
      <c r="I80" s="193" t="s">
        <v>114</v>
      </c>
      <c r="J80" s="193" t="s">
        <v>2566</v>
      </c>
      <c r="K80" s="196" t="s">
        <v>287</v>
      </c>
      <c r="L80" s="259" t="s">
        <v>220</v>
      </c>
      <c r="M80" s="193" t="s">
        <v>4337</v>
      </c>
    </row>
    <row r="81" spans="1:13" ht="28.5">
      <c r="A81" s="193" t="str">
        <f t="shared" ref="A81:A168" si="1">B81&amp;C81</f>
        <v>DefinitionsB10</v>
      </c>
      <c r="B81" s="193" t="s">
        <v>1812</v>
      </c>
      <c r="C81" s="193" t="s">
        <v>1820</v>
      </c>
      <c r="D81" s="193" t="s">
        <v>1884</v>
      </c>
      <c r="E81" s="195" t="s">
        <v>1061</v>
      </c>
      <c r="F81" s="195" t="s">
        <v>825</v>
      </c>
      <c r="G81" s="193" t="s">
        <v>1946</v>
      </c>
      <c r="H81" s="193" t="s">
        <v>1947</v>
      </c>
      <c r="I81" s="193" t="s">
        <v>115</v>
      </c>
      <c r="J81" s="193" t="s">
        <v>145</v>
      </c>
      <c r="K81" s="196" t="s">
        <v>288</v>
      </c>
      <c r="L81" s="259" t="s">
        <v>1132</v>
      </c>
      <c r="M81" s="193" t="s">
        <v>4338</v>
      </c>
    </row>
    <row r="82" spans="1:13" ht="40.5">
      <c r="A82" s="193" t="str">
        <f t="shared" si="1"/>
        <v>DefinitionsB11</v>
      </c>
      <c r="B82" s="193" t="s">
        <v>1812</v>
      </c>
      <c r="C82" s="193" t="s">
        <v>1821</v>
      </c>
      <c r="D82" s="193" t="s">
        <v>1511</v>
      </c>
      <c r="E82" s="193" t="s">
        <v>1062</v>
      </c>
      <c r="F82" s="195" t="s">
        <v>826</v>
      </c>
      <c r="G82" s="193" t="s">
        <v>1511</v>
      </c>
      <c r="H82" s="193" t="s">
        <v>1511</v>
      </c>
      <c r="I82" s="193" t="s">
        <v>1511</v>
      </c>
      <c r="J82" s="193" t="s">
        <v>1511</v>
      </c>
      <c r="K82" s="196" t="s">
        <v>1511</v>
      </c>
      <c r="L82" s="259" t="s">
        <v>1511</v>
      </c>
      <c r="M82" s="193" t="s">
        <v>4339</v>
      </c>
    </row>
    <row r="83" spans="1:13">
      <c r="A83" s="193" t="str">
        <f t="shared" si="1"/>
        <v>DefinitionsB12</v>
      </c>
      <c r="B83" s="193" t="s">
        <v>1812</v>
      </c>
      <c r="C83" s="193" t="s">
        <v>1822</v>
      </c>
      <c r="D83" s="193" t="s">
        <v>1500</v>
      </c>
      <c r="E83" s="193" t="s">
        <v>1063</v>
      </c>
      <c r="F83" s="195" t="s">
        <v>1948</v>
      </c>
      <c r="G83" s="193" t="s">
        <v>1949</v>
      </c>
      <c r="H83" s="193" t="s">
        <v>1950</v>
      </c>
      <c r="I83" s="193" t="s">
        <v>1950</v>
      </c>
      <c r="J83" s="193" t="s">
        <v>2567</v>
      </c>
      <c r="K83" s="196" t="s">
        <v>1500</v>
      </c>
      <c r="L83" s="259" t="s">
        <v>1950</v>
      </c>
      <c r="M83" s="193" t="s">
        <v>4340</v>
      </c>
    </row>
    <row r="84" spans="1:13" ht="27">
      <c r="A84" s="193" t="str">
        <f t="shared" si="1"/>
        <v>DefinitionsB13</v>
      </c>
      <c r="B84" s="193" t="s">
        <v>1812</v>
      </c>
      <c r="C84" s="193" t="s">
        <v>1823</v>
      </c>
      <c r="D84" s="193" t="s">
        <v>1886</v>
      </c>
      <c r="E84" s="193" t="s">
        <v>1064</v>
      </c>
      <c r="F84" s="195" t="s">
        <v>2011</v>
      </c>
      <c r="G84" s="193" t="s">
        <v>1501</v>
      </c>
      <c r="H84" s="193" t="s">
        <v>1951</v>
      </c>
      <c r="I84" s="193" t="s">
        <v>1952</v>
      </c>
      <c r="J84" s="193" t="s">
        <v>2568</v>
      </c>
      <c r="K84" s="196" t="s">
        <v>289</v>
      </c>
      <c r="L84" s="259" t="s">
        <v>1133</v>
      </c>
      <c r="M84" s="193" t="s">
        <v>4341</v>
      </c>
    </row>
    <row r="85" spans="1:13">
      <c r="A85" s="193" t="str">
        <f t="shared" si="1"/>
        <v>DefinitionsB14</v>
      </c>
      <c r="B85" s="193" t="s">
        <v>1812</v>
      </c>
      <c r="C85" s="193" t="s">
        <v>1824</v>
      </c>
      <c r="D85" s="193" t="s">
        <v>1495</v>
      </c>
      <c r="E85" s="193" t="s">
        <v>1953</v>
      </c>
      <c r="F85" s="195" t="s">
        <v>1495</v>
      </c>
      <c r="G85" s="193" t="s">
        <v>1495</v>
      </c>
      <c r="H85" s="193" t="s">
        <v>1495</v>
      </c>
      <c r="I85" s="193" t="s">
        <v>1495</v>
      </c>
      <c r="J85" s="193" t="s">
        <v>1495</v>
      </c>
      <c r="K85" s="196" t="s">
        <v>1495</v>
      </c>
      <c r="L85" s="259" t="s">
        <v>1495</v>
      </c>
      <c r="M85" s="193" t="s">
        <v>4342</v>
      </c>
    </row>
    <row r="86" spans="1:13">
      <c r="A86" s="193" t="str">
        <f t="shared" si="1"/>
        <v>DefinitionsB15</v>
      </c>
      <c r="B86" s="193" t="s">
        <v>1812</v>
      </c>
      <c r="C86" s="193" t="s">
        <v>1825</v>
      </c>
      <c r="D86" s="193" t="s">
        <v>1496</v>
      </c>
      <c r="E86" s="193" t="s">
        <v>1065</v>
      </c>
      <c r="F86" s="195" t="s">
        <v>1510</v>
      </c>
      <c r="G86" s="193" t="s">
        <v>1510</v>
      </c>
      <c r="H86" s="193" t="s">
        <v>1510</v>
      </c>
      <c r="I86" s="193" t="s">
        <v>116</v>
      </c>
      <c r="J86" s="193" t="s">
        <v>1510</v>
      </c>
      <c r="K86" s="196" t="s">
        <v>1496</v>
      </c>
      <c r="L86" s="259" t="s">
        <v>1510</v>
      </c>
      <c r="M86" s="193" t="s">
        <v>4343</v>
      </c>
    </row>
    <row r="87" spans="1:13" ht="28.5">
      <c r="A87" s="193" t="str">
        <f t="shared" si="1"/>
        <v>DefinitionsB16</v>
      </c>
      <c r="B87" s="193" t="s">
        <v>1812</v>
      </c>
      <c r="C87" s="193" t="s">
        <v>1826</v>
      </c>
      <c r="D87" s="193" t="s">
        <v>1893</v>
      </c>
      <c r="E87" s="195" t="s">
        <v>1954</v>
      </c>
      <c r="F87" s="195" t="s">
        <v>1955</v>
      </c>
      <c r="G87" s="193" t="s">
        <v>651</v>
      </c>
      <c r="H87" s="193" t="s">
        <v>1956</v>
      </c>
      <c r="I87" s="193" t="s">
        <v>117</v>
      </c>
      <c r="J87" s="193" t="s">
        <v>146</v>
      </c>
      <c r="K87" s="196" t="s">
        <v>290</v>
      </c>
      <c r="L87" s="259" t="s">
        <v>1134</v>
      </c>
      <c r="M87" s="193" t="s">
        <v>4344</v>
      </c>
    </row>
    <row r="88" spans="1:13" ht="28.5">
      <c r="A88" s="193" t="str">
        <f t="shared" si="1"/>
        <v>DefinitionsB17</v>
      </c>
      <c r="B88" s="193" t="s">
        <v>1812</v>
      </c>
      <c r="C88" s="193" t="s">
        <v>1827</v>
      </c>
      <c r="D88" s="193" t="s">
        <v>3518</v>
      </c>
      <c r="E88" s="195" t="s">
        <v>1066</v>
      </c>
      <c r="F88" s="195" t="s">
        <v>827</v>
      </c>
      <c r="G88" s="193" t="s">
        <v>652</v>
      </c>
      <c r="H88" s="193" t="s">
        <v>575</v>
      </c>
      <c r="I88" s="193" t="s">
        <v>118</v>
      </c>
      <c r="J88" s="193" t="s">
        <v>147</v>
      </c>
      <c r="K88" s="196" t="s">
        <v>291</v>
      </c>
      <c r="L88" s="259" t="s">
        <v>221</v>
      </c>
      <c r="M88" s="193" t="s">
        <v>4345</v>
      </c>
    </row>
    <row r="89" spans="1:13">
      <c r="A89" s="193" t="str">
        <f t="shared" si="1"/>
        <v>DefinitionsB18</v>
      </c>
      <c r="B89" s="193" t="s">
        <v>1812</v>
      </c>
      <c r="C89" s="193" t="s">
        <v>1828</v>
      </c>
      <c r="D89" s="193" t="s">
        <v>1895</v>
      </c>
      <c r="E89" s="195" t="s">
        <v>1067</v>
      </c>
      <c r="F89" s="195" t="s">
        <v>828</v>
      </c>
      <c r="G89" s="193" t="s">
        <v>653</v>
      </c>
      <c r="H89" s="193" t="s">
        <v>576</v>
      </c>
      <c r="I89" s="193" t="s">
        <v>119</v>
      </c>
      <c r="J89" s="193" t="s">
        <v>148</v>
      </c>
      <c r="K89" s="196" t="s">
        <v>292</v>
      </c>
      <c r="L89" s="259" t="s">
        <v>222</v>
      </c>
      <c r="M89" s="193" t="s">
        <v>4346</v>
      </c>
    </row>
    <row r="90" spans="1:13">
      <c r="A90" s="193" t="str">
        <f t="shared" si="1"/>
        <v>DefinitionsB19</v>
      </c>
      <c r="B90" s="193" t="s">
        <v>1812</v>
      </c>
      <c r="C90" s="193" t="s">
        <v>1829</v>
      </c>
      <c r="D90" s="193" t="s">
        <v>1896</v>
      </c>
      <c r="E90" s="195" t="s">
        <v>1068</v>
      </c>
      <c r="F90" s="195" t="s">
        <v>1896</v>
      </c>
      <c r="G90" s="193" t="s">
        <v>1896</v>
      </c>
      <c r="H90" s="193" t="s">
        <v>1896</v>
      </c>
      <c r="I90" s="193" t="s">
        <v>1896</v>
      </c>
      <c r="J90" s="193" t="s">
        <v>1896</v>
      </c>
      <c r="K90" s="196" t="s">
        <v>1896</v>
      </c>
      <c r="L90" s="259" t="s">
        <v>1896</v>
      </c>
      <c r="M90" s="193" t="s">
        <v>4347</v>
      </c>
    </row>
    <row r="91" spans="1:13" ht="28.5">
      <c r="A91" s="193" t="str">
        <f t="shared" si="1"/>
        <v>DefinitionsB20</v>
      </c>
      <c r="B91" s="193" t="s">
        <v>1812</v>
      </c>
      <c r="C91" s="193" t="s">
        <v>1830</v>
      </c>
      <c r="D91" s="193" t="s">
        <v>1898</v>
      </c>
      <c r="E91" s="195" t="s">
        <v>1069</v>
      </c>
      <c r="F91" s="195" t="s">
        <v>829</v>
      </c>
      <c r="G91" s="193" t="s">
        <v>654</v>
      </c>
      <c r="H91" s="193" t="s">
        <v>577</v>
      </c>
      <c r="I91" s="193" t="s">
        <v>120</v>
      </c>
      <c r="J91" s="193" t="s">
        <v>1898</v>
      </c>
      <c r="K91" s="196" t="s">
        <v>293</v>
      </c>
      <c r="L91" s="259" t="s">
        <v>1898</v>
      </c>
      <c r="M91" s="193" t="s">
        <v>4348</v>
      </c>
    </row>
    <row r="92" spans="1:13" ht="28.5">
      <c r="A92" s="193" t="str">
        <f t="shared" si="1"/>
        <v>DefinitionsB21</v>
      </c>
      <c r="B92" s="193" t="s">
        <v>1812</v>
      </c>
      <c r="C92" s="193" t="s">
        <v>1831</v>
      </c>
      <c r="D92" s="193" t="s">
        <v>1900</v>
      </c>
      <c r="E92" s="195" t="s">
        <v>1070</v>
      </c>
      <c r="F92" s="195" t="s">
        <v>830</v>
      </c>
      <c r="G92" s="193" t="s">
        <v>655</v>
      </c>
      <c r="H92" s="193" t="s">
        <v>578</v>
      </c>
      <c r="I92" s="193" t="s">
        <v>121</v>
      </c>
      <c r="J92" s="193" t="s">
        <v>149</v>
      </c>
      <c r="K92" s="196" t="s">
        <v>294</v>
      </c>
      <c r="L92" s="259" t="s">
        <v>223</v>
      </c>
      <c r="M92" s="193" t="s">
        <v>4349</v>
      </c>
    </row>
    <row r="93" spans="1:13" ht="28.5">
      <c r="A93" s="193" t="str">
        <f t="shared" si="1"/>
        <v>DefinitionsB22</v>
      </c>
      <c r="B93" s="193" t="s">
        <v>1812</v>
      </c>
      <c r="C93" s="193" t="s">
        <v>1832</v>
      </c>
      <c r="D93" s="193" t="s">
        <v>1091</v>
      </c>
      <c r="E93" s="195" t="s">
        <v>1071</v>
      </c>
      <c r="F93" s="195" t="s">
        <v>831</v>
      </c>
      <c r="G93" s="193" t="s">
        <v>656</v>
      </c>
      <c r="H93" s="193" t="s">
        <v>579</v>
      </c>
      <c r="I93" s="193" t="s">
        <v>122</v>
      </c>
      <c r="J93" s="193" t="s">
        <v>150</v>
      </c>
      <c r="K93" s="196" t="s">
        <v>295</v>
      </c>
      <c r="L93" s="259" t="s">
        <v>224</v>
      </c>
      <c r="M93" s="193" t="s">
        <v>4350</v>
      </c>
    </row>
    <row r="94" spans="1:13">
      <c r="A94" s="193" t="str">
        <f t="shared" si="1"/>
        <v>DefinitionsB23</v>
      </c>
      <c r="B94" s="193" t="s">
        <v>1812</v>
      </c>
      <c r="C94" s="193" t="s">
        <v>1833</v>
      </c>
      <c r="D94" s="193" t="s">
        <v>1498</v>
      </c>
      <c r="E94" s="193" t="s">
        <v>1072</v>
      </c>
      <c r="F94" s="195" t="s">
        <v>1957</v>
      </c>
      <c r="G94" s="193" t="s">
        <v>1498</v>
      </c>
      <c r="H94" s="193" t="s">
        <v>1958</v>
      </c>
      <c r="I94" s="193" t="s">
        <v>1958</v>
      </c>
      <c r="J94" s="193" t="s">
        <v>1498</v>
      </c>
      <c r="K94" s="196" t="s">
        <v>1498</v>
      </c>
      <c r="L94" s="259" t="s">
        <v>1498</v>
      </c>
      <c r="M94" s="193" t="s">
        <v>4351</v>
      </c>
    </row>
    <row r="95" spans="1:13">
      <c r="A95" s="193" t="str">
        <f t="shared" si="1"/>
        <v>DefinitionsB24</v>
      </c>
      <c r="B95" s="193" t="s">
        <v>1812</v>
      </c>
      <c r="C95" s="193" t="s">
        <v>1863</v>
      </c>
      <c r="D95" s="193" t="s">
        <v>1808</v>
      </c>
      <c r="E95" s="193" t="s">
        <v>1959</v>
      </c>
      <c r="F95" s="195" t="s">
        <v>1960</v>
      </c>
      <c r="G95" s="193" t="s">
        <v>1961</v>
      </c>
      <c r="H95" s="193" t="s">
        <v>1962</v>
      </c>
      <c r="I95" s="193" t="s">
        <v>1963</v>
      </c>
      <c r="J95" s="193" t="s">
        <v>1964</v>
      </c>
      <c r="K95" s="196" t="s">
        <v>2286</v>
      </c>
      <c r="L95" s="259" t="s">
        <v>1135</v>
      </c>
      <c r="M95" s="193" t="s">
        <v>4352</v>
      </c>
    </row>
    <row r="96" spans="1:13" ht="28.5">
      <c r="A96" s="193" t="str">
        <f t="shared" si="1"/>
        <v>DefinitionsB25</v>
      </c>
      <c r="B96" s="193" t="s">
        <v>1812</v>
      </c>
      <c r="C96" s="193" t="s">
        <v>890</v>
      </c>
      <c r="D96" s="193" t="s">
        <v>1095</v>
      </c>
      <c r="E96" s="193" t="s">
        <v>1073</v>
      </c>
      <c r="F96" s="195" t="s">
        <v>832</v>
      </c>
      <c r="G96" s="193" t="s">
        <v>657</v>
      </c>
      <c r="H96" s="195" t="s">
        <v>580</v>
      </c>
      <c r="I96" s="193" t="s">
        <v>123</v>
      </c>
      <c r="J96" s="193" t="s">
        <v>2569</v>
      </c>
      <c r="K96" s="196" t="s">
        <v>296</v>
      </c>
      <c r="L96" s="259" t="s">
        <v>1136</v>
      </c>
      <c r="M96" s="193" t="s">
        <v>4353</v>
      </c>
    </row>
    <row r="97" spans="1:13">
      <c r="A97" s="193" t="str">
        <f t="shared" si="1"/>
        <v>DefinitionsB26</v>
      </c>
      <c r="B97" s="193" t="s">
        <v>1812</v>
      </c>
      <c r="C97" s="193" t="s">
        <v>1096</v>
      </c>
      <c r="D97" s="193" t="s">
        <v>1497</v>
      </c>
      <c r="E97" s="195" t="s">
        <v>1965</v>
      </c>
      <c r="F97" s="195" t="s">
        <v>1966</v>
      </c>
      <c r="G97" s="193" t="s">
        <v>1967</v>
      </c>
      <c r="H97" s="193" t="s">
        <v>1497</v>
      </c>
      <c r="I97" s="193" t="s">
        <v>1497</v>
      </c>
      <c r="J97" s="193" t="s">
        <v>1497</v>
      </c>
      <c r="K97" s="196" t="s">
        <v>1497</v>
      </c>
      <c r="L97" s="259" t="s">
        <v>1497</v>
      </c>
      <c r="M97" s="193" t="s">
        <v>4354</v>
      </c>
    </row>
    <row r="98" spans="1:13" ht="27">
      <c r="A98" s="193" t="str">
        <f t="shared" si="1"/>
        <v>DefinitionsB27</v>
      </c>
      <c r="B98" s="193" t="s">
        <v>1812</v>
      </c>
      <c r="C98" s="193" t="s">
        <v>1099</v>
      </c>
      <c r="D98" s="193" t="s">
        <v>2012</v>
      </c>
      <c r="E98" s="193" t="s">
        <v>1968</v>
      </c>
      <c r="F98" s="195" t="s">
        <v>1521</v>
      </c>
      <c r="G98" s="193" t="s">
        <v>1969</v>
      </c>
      <c r="H98" s="193" t="s">
        <v>1970</v>
      </c>
      <c r="I98" s="193" t="s">
        <v>1971</v>
      </c>
      <c r="J98" s="193" t="s">
        <v>1972</v>
      </c>
      <c r="K98" s="196" t="s">
        <v>2287</v>
      </c>
      <c r="L98" s="259" t="s">
        <v>1137</v>
      </c>
      <c r="M98" s="193" t="s">
        <v>4355</v>
      </c>
    </row>
    <row r="99" spans="1:13">
      <c r="A99" s="193" t="str">
        <f>B99&amp;C99</f>
        <v>DefinitionsB28</v>
      </c>
      <c r="B99" s="193" t="s">
        <v>1812</v>
      </c>
      <c r="C99" s="193" t="s">
        <v>1102</v>
      </c>
      <c r="D99" s="193" t="s">
        <v>1107</v>
      </c>
      <c r="E99" s="195" t="s">
        <v>1074</v>
      </c>
      <c r="F99" s="195" t="s">
        <v>2350</v>
      </c>
      <c r="G99" s="193" t="s">
        <v>658</v>
      </c>
      <c r="H99" s="193" t="s">
        <v>581</v>
      </c>
      <c r="I99" s="193" t="s">
        <v>124</v>
      </c>
      <c r="J99" s="193" t="s">
        <v>151</v>
      </c>
      <c r="K99" s="196" t="s">
        <v>297</v>
      </c>
      <c r="L99" s="259" t="s">
        <v>225</v>
      </c>
      <c r="M99" s="193" t="s">
        <v>4356</v>
      </c>
    </row>
    <row r="100" spans="1:13" ht="28.5">
      <c r="A100" s="193" t="str">
        <f t="shared" si="1"/>
        <v>DefinitionsB29</v>
      </c>
      <c r="B100" s="193" t="s">
        <v>1812</v>
      </c>
      <c r="C100" s="193" t="s">
        <v>1105</v>
      </c>
      <c r="D100" s="193" t="s">
        <v>1109</v>
      </c>
      <c r="E100" s="195" t="s">
        <v>1075</v>
      </c>
      <c r="F100" s="195" t="s">
        <v>1522</v>
      </c>
      <c r="G100" s="193" t="s">
        <v>659</v>
      </c>
      <c r="H100" s="193" t="s">
        <v>1973</v>
      </c>
      <c r="I100" s="193" t="s">
        <v>125</v>
      </c>
      <c r="J100" s="193" t="s">
        <v>152</v>
      </c>
      <c r="K100" s="196" t="s">
        <v>298</v>
      </c>
      <c r="L100" s="259" t="s">
        <v>1138</v>
      </c>
      <c r="M100" s="193" t="s">
        <v>4357</v>
      </c>
    </row>
    <row r="101" spans="1:13" ht="27">
      <c r="A101" s="193" t="str">
        <f t="shared" si="1"/>
        <v>DefinitionsB30</v>
      </c>
      <c r="B101" s="193" t="s">
        <v>1812</v>
      </c>
      <c r="C101" s="193" t="s">
        <v>1110</v>
      </c>
      <c r="D101" s="193" t="s">
        <v>1113</v>
      </c>
      <c r="E101" s="195" t="s">
        <v>1076</v>
      </c>
      <c r="F101" s="195" t="s">
        <v>1523</v>
      </c>
      <c r="G101" s="193" t="s">
        <v>660</v>
      </c>
      <c r="H101" s="193" t="s">
        <v>1974</v>
      </c>
      <c r="I101" s="193" t="s">
        <v>126</v>
      </c>
      <c r="J101" s="193" t="s">
        <v>153</v>
      </c>
      <c r="K101" s="196" t="s">
        <v>299</v>
      </c>
      <c r="L101" s="259" t="s">
        <v>1139</v>
      </c>
      <c r="M101" s="193" t="s">
        <v>4358</v>
      </c>
    </row>
    <row r="102" spans="1:13" ht="27">
      <c r="A102" s="193" t="str">
        <f t="shared" si="1"/>
        <v>DefinitionsB31</v>
      </c>
      <c r="B102" s="193" t="s">
        <v>1812</v>
      </c>
      <c r="C102" s="193" t="s">
        <v>891</v>
      </c>
      <c r="D102" s="193" t="s">
        <v>1116</v>
      </c>
      <c r="E102" s="195" t="s">
        <v>1077</v>
      </c>
      <c r="F102" s="195" t="s">
        <v>1524</v>
      </c>
      <c r="G102" s="193" t="s">
        <v>661</v>
      </c>
      <c r="H102" s="193" t="s">
        <v>1975</v>
      </c>
      <c r="I102" s="193" t="s">
        <v>127</v>
      </c>
      <c r="J102" s="193" t="s">
        <v>154</v>
      </c>
      <c r="K102" s="196" t="s">
        <v>300</v>
      </c>
      <c r="L102" s="259" t="s">
        <v>1140</v>
      </c>
      <c r="M102" s="193" t="s">
        <v>4359</v>
      </c>
    </row>
    <row r="103" spans="1:13">
      <c r="A103" s="193" t="str">
        <f t="shared" si="1"/>
        <v>DefinitionsC2</v>
      </c>
      <c r="B103" s="193" t="s">
        <v>1812</v>
      </c>
      <c r="C103" s="193" t="s">
        <v>1864</v>
      </c>
      <c r="D103" s="193" t="s">
        <v>1976</v>
      </c>
      <c r="E103" s="195" t="s">
        <v>1078</v>
      </c>
      <c r="F103" s="195" t="s">
        <v>1995</v>
      </c>
      <c r="G103" s="193" t="s">
        <v>1513</v>
      </c>
      <c r="H103" s="193" t="s">
        <v>1976</v>
      </c>
      <c r="I103" s="193" t="s">
        <v>128</v>
      </c>
      <c r="J103" s="193" t="s">
        <v>1977</v>
      </c>
      <c r="K103" s="196" t="s">
        <v>2288</v>
      </c>
      <c r="L103" s="259" t="s">
        <v>1141</v>
      </c>
      <c r="M103" s="193" t="s">
        <v>4360</v>
      </c>
    </row>
    <row r="104" spans="1:13">
      <c r="A104" s="193" t="str">
        <f>B104&amp;C104</f>
        <v>DefinitionsC3</v>
      </c>
      <c r="B104" s="193" t="s">
        <v>1812</v>
      </c>
      <c r="C104" s="193" t="s">
        <v>1834</v>
      </c>
      <c r="D104" s="193" t="s">
        <v>1874</v>
      </c>
      <c r="E104" s="195" t="s">
        <v>1079</v>
      </c>
      <c r="F104" s="195" t="s">
        <v>833</v>
      </c>
      <c r="G104" s="193" t="s">
        <v>662</v>
      </c>
      <c r="H104" s="193" t="s">
        <v>582</v>
      </c>
      <c r="I104" s="193" t="s">
        <v>129</v>
      </c>
      <c r="J104" s="193" t="s">
        <v>155</v>
      </c>
      <c r="K104" s="196" t="s">
        <v>301</v>
      </c>
      <c r="L104" s="259" t="s">
        <v>226</v>
      </c>
      <c r="M104" s="193" t="s">
        <v>4361</v>
      </c>
    </row>
    <row r="105" spans="1:13" ht="114">
      <c r="A105" s="193" t="str">
        <f t="shared" si="1"/>
        <v>DefinitionsC4</v>
      </c>
      <c r="B105" s="193" t="s">
        <v>1812</v>
      </c>
      <c r="C105" s="193" t="s">
        <v>1835</v>
      </c>
      <c r="D105" s="193" t="s">
        <v>1876</v>
      </c>
      <c r="E105" s="195" t="s">
        <v>1080</v>
      </c>
      <c r="F105" s="195" t="s">
        <v>834</v>
      </c>
      <c r="G105" s="193" t="s">
        <v>4107</v>
      </c>
      <c r="H105" s="193" t="s">
        <v>583</v>
      </c>
      <c r="I105" s="193" t="s">
        <v>130</v>
      </c>
      <c r="J105" s="193" t="s">
        <v>2570</v>
      </c>
      <c r="K105" s="196" t="s">
        <v>302</v>
      </c>
      <c r="L105" s="259" t="s">
        <v>227</v>
      </c>
      <c r="M105" s="193" t="s">
        <v>4362</v>
      </c>
    </row>
    <row r="106" spans="1:13" ht="293.25">
      <c r="A106" s="193" t="str">
        <f t="shared" si="1"/>
        <v>DefinitionsC5</v>
      </c>
      <c r="B106" s="193" t="s">
        <v>1812</v>
      </c>
      <c r="C106" s="193" t="s">
        <v>1836</v>
      </c>
      <c r="D106" s="194" t="s">
        <v>2773</v>
      </c>
      <c r="E106" s="194" t="s">
        <v>2774</v>
      </c>
      <c r="F106" s="208" t="s">
        <v>2775</v>
      </c>
      <c r="G106" s="194" t="s">
        <v>4108</v>
      </c>
      <c r="H106" s="194" t="s">
        <v>2835</v>
      </c>
      <c r="I106" s="194" t="s">
        <v>2836</v>
      </c>
      <c r="J106" s="194" t="s">
        <v>2837</v>
      </c>
      <c r="K106" s="194" t="s">
        <v>2838</v>
      </c>
      <c r="L106" s="194" t="s">
        <v>2839</v>
      </c>
      <c r="M106" s="194" t="s">
        <v>4363</v>
      </c>
    </row>
    <row r="107" spans="1:13" ht="142.5">
      <c r="A107" s="193" t="str">
        <f t="shared" si="1"/>
        <v>DefinitionsC6</v>
      </c>
      <c r="B107" s="193" t="s">
        <v>1812</v>
      </c>
      <c r="C107" s="193" t="s">
        <v>1837</v>
      </c>
      <c r="D107" s="193" t="s">
        <v>1879</v>
      </c>
      <c r="E107" s="195" t="s">
        <v>1081</v>
      </c>
      <c r="F107" s="195" t="s">
        <v>835</v>
      </c>
      <c r="G107" s="193" t="s">
        <v>663</v>
      </c>
      <c r="H107" s="193" t="s">
        <v>413</v>
      </c>
      <c r="I107" s="193" t="s">
        <v>131</v>
      </c>
      <c r="J107" s="193" t="s">
        <v>2571</v>
      </c>
      <c r="K107" s="196" t="s">
        <v>525</v>
      </c>
      <c r="L107" s="259" t="s">
        <v>1142</v>
      </c>
      <c r="M107" s="193" t="s">
        <v>4364</v>
      </c>
    </row>
    <row r="108" spans="1:13" ht="384.75">
      <c r="A108" s="193" t="str">
        <f>B108&amp;C108</f>
        <v>DefinitionsC7</v>
      </c>
      <c r="B108" s="193" t="s">
        <v>1812</v>
      </c>
      <c r="C108" s="193" t="s">
        <v>1838</v>
      </c>
      <c r="D108" s="193" t="s">
        <v>1881</v>
      </c>
      <c r="E108" s="195" t="s">
        <v>1082</v>
      </c>
      <c r="F108" s="195" t="s">
        <v>836</v>
      </c>
      <c r="G108" s="193" t="s">
        <v>664</v>
      </c>
      <c r="H108" s="195" t="s">
        <v>414</v>
      </c>
      <c r="I108" s="193" t="s">
        <v>132</v>
      </c>
      <c r="J108" s="193" t="s">
        <v>2572</v>
      </c>
      <c r="K108" s="196" t="s">
        <v>526</v>
      </c>
      <c r="L108" s="259" t="s">
        <v>228</v>
      </c>
      <c r="M108" s="193" t="s">
        <v>4365</v>
      </c>
    </row>
    <row r="109" spans="1:13" ht="256.5">
      <c r="A109" s="193" t="str">
        <f t="shared" si="1"/>
        <v>DefinitionsC8</v>
      </c>
      <c r="B109" s="193" t="s">
        <v>1812</v>
      </c>
      <c r="C109" s="193" t="s">
        <v>1839</v>
      </c>
      <c r="D109" s="193" t="s">
        <v>2279</v>
      </c>
      <c r="E109" s="195" t="s">
        <v>1083</v>
      </c>
      <c r="F109" s="195" t="s">
        <v>837</v>
      </c>
      <c r="G109" s="193" t="s">
        <v>665</v>
      </c>
      <c r="H109" s="193" t="s">
        <v>415</v>
      </c>
      <c r="I109" s="193" t="s">
        <v>133</v>
      </c>
      <c r="J109" s="193" t="s">
        <v>2602</v>
      </c>
      <c r="K109" s="196" t="s">
        <v>527</v>
      </c>
      <c r="L109" s="259" t="s">
        <v>1143</v>
      </c>
      <c r="M109" s="193" t="s">
        <v>4366</v>
      </c>
    </row>
    <row r="110" spans="1:13" ht="185.25">
      <c r="A110" s="193" t="str">
        <f>B110&amp;C110</f>
        <v>DefinitionsC9</v>
      </c>
      <c r="B110" s="193" t="s">
        <v>1812</v>
      </c>
      <c r="C110" s="193" t="s">
        <v>1840</v>
      </c>
      <c r="D110" s="193" t="s">
        <v>1883</v>
      </c>
      <c r="E110" s="195" t="s">
        <v>1084</v>
      </c>
      <c r="F110" s="195" t="s">
        <v>838</v>
      </c>
      <c r="G110" s="193" t="s">
        <v>666</v>
      </c>
      <c r="H110" s="266" t="s">
        <v>416</v>
      </c>
      <c r="I110" s="193" t="s">
        <v>134</v>
      </c>
      <c r="J110" s="193" t="s">
        <v>2603</v>
      </c>
      <c r="K110" s="196" t="s">
        <v>528</v>
      </c>
      <c r="L110" s="259" t="s">
        <v>229</v>
      </c>
      <c r="M110" s="193" t="s">
        <v>4367</v>
      </c>
    </row>
    <row r="111" spans="1:13" ht="228">
      <c r="A111" s="193" t="str">
        <f t="shared" si="1"/>
        <v>DefinitionsC10</v>
      </c>
      <c r="B111" s="193" t="s">
        <v>1812</v>
      </c>
      <c r="C111" s="193" t="s">
        <v>1841</v>
      </c>
      <c r="D111" s="193" t="s">
        <v>1885</v>
      </c>
      <c r="E111" s="195" t="s">
        <v>1085</v>
      </c>
      <c r="F111" s="195" t="s">
        <v>839</v>
      </c>
      <c r="G111" s="193" t="s">
        <v>667</v>
      </c>
      <c r="H111" s="193" t="s">
        <v>417</v>
      </c>
      <c r="I111" s="193" t="s">
        <v>135</v>
      </c>
      <c r="J111" s="193" t="s">
        <v>2604</v>
      </c>
      <c r="K111" s="196" t="s">
        <v>529</v>
      </c>
      <c r="L111" s="259" t="s">
        <v>230</v>
      </c>
      <c r="M111" s="193" t="s">
        <v>4368</v>
      </c>
    </row>
    <row r="112" spans="1:13" ht="99.75">
      <c r="A112" s="193" t="str">
        <f t="shared" si="1"/>
        <v>DefinitionsC11</v>
      </c>
      <c r="B112" s="193" t="s">
        <v>1812</v>
      </c>
      <c r="C112" s="193" t="s">
        <v>1842</v>
      </c>
      <c r="D112" s="193" t="s">
        <v>1807</v>
      </c>
      <c r="E112" s="195" t="s">
        <v>1086</v>
      </c>
      <c r="F112" s="195" t="s">
        <v>840</v>
      </c>
      <c r="G112" s="193" t="s">
        <v>1978</v>
      </c>
      <c r="H112" s="193" t="s">
        <v>418</v>
      </c>
      <c r="I112" s="193" t="s">
        <v>136</v>
      </c>
      <c r="J112" s="193" t="s">
        <v>1979</v>
      </c>
      <c r="K112" s="196" t="s">
        <v>530</v>
      </c>
      <c r="L112" s="259" t="s">
        <v>1144</v>
      </c>
      <c r="M112" s="193" t="s">
        <v>4369</v>
      </c>
    </row>
    <row r="113" spans="1:13">
      <c r="A113" s="193" t="str">
        <f t="shared" si="1"/>
        <v>DefinitionsC12</v>
      </c>
      <c r="B113" s="193" t="s">
        <v>1812</v>
      </c>
      <c r="C113" s="193" t="s">
        <v>1843</v>
      </c>
      <c r="D113" s="193" t="s">
        <v>2413</v>
      </c>
      <c r="E113" s="193" t="s">
        <v>1508</v>
      </c>
      <c r="F113" s="195" t="s">
        <v>1996</v>
      </c>
      <c r="G113" s="193" t="s">
        <v>1980</v>
      </c>
      <c r="H113" s="193" t="s">
        <v>1981</v>
      </c>
      <c r="I113" s="193" t="s">
        <v>1982</v>
      </c>
      <c r="J113" s="193" t="s">
        <v>1983</v>
      </c>
      <c r="K113" s="196" t="s">
        <v>531</v>
      </c>
      <c r="L113" s="259" t="s">
        <v>1145</v>
      </c>
      <c r="M113" s="193" t="s">
        <v>4370</v>
      </c>
    </row>
    <row r="114" spans="1:13" ht="156.75">
      <c r="A114" s="193" t="str">
        <f t="shared" si="1"/>
        <v>DefinitionsC13</v>
      </c>
      <c r="B114" s="193" t="s">
        <v>1812</v>
      </c>
      <c r="C114" s="193" t="s">
        <v>1844</v>
      </c>
      <c r="D114" s="193" t="s">
        <v>1887</v>
      </c>
      <c r="E114" s="195" t="s">
        <v>1087</v>
      </c>
      <c r="F114" s="195" t="s">
        <v>841</v>
      </c>
      <c r="G114" s="193" t="s">
        <v>668</v>
      </c>
      <c r="H114" s="269" t="s">
        <v>419</v>
      </c>
      <c r="I114" s="193" t="s">
        <v>137</v>
      </c>
      <c r="J114" s="193" t="s">
        <v>2605</v>
      </c>
      <c r="K114" s="196" t="s">
        <v>532</v>
      </c>
      <c r="L114" s="259" t="s">
        <v>1146</v>
      </c>
      <c r="M114" s="193" t="s">
        <v>4371</v>
      </c>
    </row>
    <row r="115" spans="1:13" ht="42.75">
      <c r="A115" s="193" t="str">
        <f t="shared" si="1"/>
        <v>DefinitionsC14</v>
      </c>
      <c r="B115" s="193" t="s">
        <v>1812</v>
      </c>
      <c r="C115" s="193" t="s">
        <v>1845</v>
      </c>
      <c r="D115" s="193" t="s">
        <v>1888</v>
      </c>
      <c r="E115" s="193" t="s">
        <v>1984</v>
      </c>
      <c r="F115" s="195" t="s">
        <v>1890</v>
      </c>
      <c r="G115" s="193" t="s">
        <v>1889</v>
      </c>
      <c r="H115" s="193" t="s">
        <v>1888</v>
      </c>
      <c r="I115" s="193" t="s">
        <v>138</v>
      </c>
      <c r="J115" s="193" t="s">
        <v>1888</v>
      </c>
      <c r="K115" s="196" t="s">
        <v>533</v>
      </c>
      <c r="L115" s="259" t="s">
        <v>1888</v>
      </c>
      <c r="M115" s="193" t="s">
        <v>4372</v>
      </c>
    </row>
    <row r="116" spans="1:13" ht="42.75">
      <c r="A116" s="193" t="str">
        <f t="shared" si="1"/>
        <v>DefinitionsC15</v>
      </c>
      <c r="B116" s="193" t="s">
        <v>1812</v>
      </c>
      <c r="C116" s="193" t="s">
        <v>1846</v>
      </c>
      <c r="D116" s="193" t="s">
        <v>1502</v>
      </c>
      <c r="E116" s="193" t="s">
        <v>1985</v>
      </c>
      <c r="F116" s="195" t="s">
        <v>1997</v>
      </c>
      <c r="G116" s="193" t="s">
        <v>1514</v>
      </c>
      <c r="H116" s="193" t="s">
        <v>1502</v>
      </c>
      <c r="I116" s="193" t="s">
        <v>139</v>
      </c>
      <c r="J116" s="193" t="s">
        <v>1502</v>
      </c>
      <c r="K116" s="196" t="s">
        <v>1891</v>
      </c>
      <c r="L116" s="259" t="s">
        <v>1502</v>
      </c>
      <c r="M116" s="193" t="s">
        <v>4373</v>
      </c>
    </row>
    <row r="117" spans="1:13" ht="156.75">
      <c r="A117" s="193" t="str">
        <f t="shared" si="1"/>
        <v>DefinitionsC16</v>
      </c>
      <c r="B117" s="193" t="s">
        <v>1812</v>
      </c>
      <c r="C117" s="193" t="s">
        <v>1847</v>
      </c>
      <c r="D117" s="193" t="s">
        <v>1892</v>
      </c>
      <c r="E117" s="195" t="s">
        <v>1088</v>
      </c>
      <c r="F117" s="195" t="s">
        <v>842</v>
      </c>
      <c r="G117" s="193" t="s">
        <v>966</v>
      </c>
      <c r="H117" s="193" t="s">
        <v>420</v>
      </c>
      <c r="I117" s="193" t="s">
        <v>140</v>
      </c>
      <c r="J117" s="193" t="s">
        <v>2573</v>
      </c>
      <c r="K117" s="196" t="s">
        <v>534</v>
      </c>
      <c r="L117" s="259" t="s">
        <v>231</v>
      </c>
      <c r="M117" s="193" t="s">
        <v>4374</v>
      </c>
    </row>
    <row r="118" spans="1:13" ht="213.75">
      <c r="A118" s="193" t="str">
        <f t="shared" si="1"/>
        <v>DefinitionsC17</v>
      </c>
      <c r="B118" s="193" t="s">
        <v>1812</v>
      </c>
      <c r="C118" s="193" t="s">
        <v>1848</v>
      </c>
      <c r="D118" s="193" t="s">
        <v>3519</v>
      </c>
      <c r="E118" s="195" t="s">
        <v>1089</v>
      </c>
      <c r="F118" s="195" t="s">
        <v>4024</v>
      </c>
      <c r="G118" s="193" t="s">
        <v>4109</v>
      </c>
      <c r="H118" s="193" t="s">
        <v>2724</v>
      </c>
      <c r="I118" s="193" t="s">
        <v>141</v>
      </c>
      <c r="J118" s="193" t="s">
        <v>2574</v>
      </c>
      <c r="K118" s="196" t="s">
        <v>535</v>
      </c>
      <c r="L118" s="259" t="s">
        <v>232</v>
      </c>
      <c r="M118" s="193" t="s">
        <v>4375</v>
      </c>
    </row>
    <row r="119" spans="1:13" ht="409.5">
      <c r="A119" s="193" t="str">
        <f t="shared" si="1"/>
        <v>DefinitionsC18</v>
      </c>
      <c r="B119" s="193" t="s">
        <v>1812</v>
      </c>
      <c r="C119" s="193" t="s">
        <v>1849</v>
      </c>
      <c r="D119" s="193" t="s">
        <v>1894</v>
      </c>
      <c r="E119" s="195" t="s">
        <v>731</v>
      </c>
      <c r="F119" s="195" t="s">
        <v>4020</v>
      </c>
      <c r="G119" s="193" t="s">
        <v>967</v>
      </c>
      <c r="H119" s="269" t="s">
        <v>421</v>
      </c>
      <c r="I119" s="193" t="s">
        <v>303</v>
      </c>
      <c r="J119" s="193" t="s">
        <v>2575</v>
      </c>
      <c r="K119" s="196" t="s">
        <v>536</v>
      </c>
      <c r="L119" s="259" t="s">
        <v>233</v>
      </c>
      <c r="M119" s="193" t="s">
        <v>4376</v>
      </c>
    </row>
    <row r="120" spans="1:13" ht="327.75">
      <c r="A120" s="193" t="str">
        <f t="shared" si="1"/>
        <v>DefinitionsC19</v>
      </c>
      <c r="B120" s="193" t="s">
        <v>1812</v>
      </c>
      <c r="C120" s="193" t="s">
        <v>1850</v>
      </c>
      <c r="D120" s="193" t="s">
        <v>1897</v>
      </c>
      <c r="E120" s="195" t="s">
        <v>732</v>
      </c>
      <c r="F120" s="270" t="s">
        <v>843</v>
      </c>
      <c r="G120" s="193" t="s">
        <v>968</v>
      </c>
      <c r="H120" s="193" t="s">
        <v>422</v>
      </c>
      <c r="I120" s="193" t="s">
        <v>304</v>
      </c>
      <c r="J120" s="193" t="s">
        <v>2576</v>
      </c>
      <c r="K120" s="196" t="s">
        <v>537</v>
      </c>
      <c r="L120" s="259" t="s">
        <v>234</v>
      </c>
      <c r="M120" s="193" t="s">
        <v>4377</v>
      </c>
    </row>
    <row r="121" spans="1:13" ht="171">
      <c r="A121" s="193" t="str">
        <f t="shared" si="1"/>
        <v>DefinitionsC20</v>
      </c>
      <c r="B121" s="193" t="s">
        <v>1812</v>
      </c>
      <c r="C121" s="193" t="s">
        <v>1851</v>
      </c>
      <c r="D121" s="193" t="s">
        <v>1899</v>
      </c>
      <c r="E121" s="195" t="s">
        <v>733</v>
      </c>
      <c r="F121" s="270" t="s">
        <v>844</v>
      </c>
      <c r="G121" s="193" t="s">
        <v>969</v>
      </c>
      <c r="H121" s="193" t="s">
        <v>423</v>
      </c>
      <c r="I121" s="193" t="s">
        <v>305</v>
      </c>
      <c r="J121" s="193" t="s">
        <v>2577</v>
      </c>
      <c r="K121" s="196" t="s">
        <v>538</v>
      </c>
      <c r="L121" s="259" t="s">
        <v>235</v>
      </c>
      <c r="M121" s="193" t="s">
        <v>4378</v>
      </c>
    </row>
    <row r="122" spans="1:13" ht="358.5">
      <c r="A122" s="193" t="str">
        <f t="shared" si="1"/>
        <v>DefinitionsC21</v>
      </c>
      <c r="B122" s="193" t="s">
        <v>1812</v>
      </c>
      <c r="C122" s="193" t="s">
        <v>1852</v>
      </c>
      <c r="D122" s="193" t="s">
        <v>1901</v>
      </c>
      <c r="E122" s="195" t="s">
        <v>734</v>
      </c>
      <c r="F122" s="270" t="s">
        <v>584</v>
      </c>
      <c r="G122" s="193" t="s">
        <v>970</v>
      </c>
      <c r="H122" s="266" t="s">
        <v>2749</v>
      </c>
      <c r="I122" s="193" t="s">
        <v>306</v>
      </c>
      <c r="J122" s="193" t="s">
        <v>2578</v>
      </c>
      <c r="K122" s="196" t="s">
        <v>539</v>
      </c>
      <c r="L122" s="259" t="s">
        <v>236</v>
      </c>
      <c r="M122" s="193" t="s">
        <v>4379</v>
      </c>
    </row>
    <row r="123" spans="1:13" ht="327.75">
      <c r="A123" s="193" t="str">
        <f t="shared" si="1"/>
        <v>DefinitionsC22</v>
      </c>
      <c r="B123" s="193" t="s">
        <v>1812</v>
      </c>
      <c r="C123" s="193" t="s">
        <v>1853</v>
      </c>
      <c r="D123" s="193" t="s">
        <v>1090</v>
      </c>
      <c r="E123" s="195" t="s">
        <v>735</v>
      </c>
      <c r="F123" s="270" t="s">
        <v>585</v>
      </c>
      <c r="G123" s="193" t="s">
        <v>971</v>
      </c>
      <c r="H123" s="266" t="s">
        <v>424</v>
      </c>
      <c r="I123" s="193" t="s">
        <v>307</v>
      </c>
      <c r="J123" s="193" t="s">
        <v>2579</v>
      </c>
      <c r="K123" s="196" t="s">
        <v>540</v>
      </c>
      <c r="L123" s="259" t="s">
        <v>237</v>
      </c>
      <c r="M123" s="193" t="s">
        <v>4380</v>
      </c>
    </row>
    <row r="124" spans="1:13" ht="28.5">
      <c r="A124" s="193" t="str">
        <f t="shared" si="1"/>
        <v>DefinitionsC23</v>
      </c>
      <c r="B124" s="193" t="s">
        <v>1812</v>
      </c>
      <c r="C124" s="193" t="s">
        <v>1854</v>
      </c>
      <c r="D124" s="193" t="s">
        <v>1092</v>
      </c>
      <c r="E124" s="193" t="s">
        <v>1509</v>
      </c>
      <c r="F124" s="195" t="s">
        <v>1998</v>
      </c>
      <c r="G124" s="193" t="s">
        <v>1463</v>
      </c>
      <c r="H124" s="193" t="s">
        <v>1464</v>
      </c>
      <c r="I124" s="193" t="s">
        <v>308</v>
      </c>
      <c r="J124" s="193" t="s">
        <v>1465</v>
      </c>
      <c r="K124" s="196" t="s">
        <v>541</v>
      </c>
      <c r="L124" s="259" t="s">
        <v>1147</v>
      </c>
      <c r="M124" s="193" t="s">
        <v>4381</v>
      </c>
    </row>
    <row r="125" spans="1:13" ht="99.75">
      <c r="A125" s="193" t="str">
        <f t="shared" si="1"/>
        <v>DefinitionsC24</v>
      </c>
      <c r="B125" s="193" t="s">
        <v>1812</v>
      </c>
      <c r="C125" s="193" t="s">
        <v>1093</v>
      </c>
      <c r="D125" s="193" t="s">
        <v>1809</v>
      </c>
      <c r="E125" s="195" t="s">
        <v>736</v>
      </c>
      <c r="F125" s="195" t="s">
        <v>1466</v>
      </c>
      <c r="G125" s="193" t="s">
        <v>1467</v>
      </c>
      <c r="H125" s="193" t="s">
        <v>425</v>
      </c>
      <c r="I125" s="193" t="s">
        <v>309</v>
      </c>
      <c r="J125" s="193" t="s">
        <v>1468</v>
      </c>
      <c r="K125" s="196" t="s">
        <v>542</v>
      </c>
      <c r="L125" s="259" t="s">
        <v>1148</v>
      </c>
      <c r="M125" s="193" t="s">
        <v>4382</v>
      </c>
    </row>
    <row r="126" spans="1:13" ht="213.75">
      <c r="A126" s="193" t="str">
        <f t="shared" si="1"/>
        <v>DefinitionsC25</v>
      </c>
      <c r="B126" s="193" t="s">
        <v>1812</v>
      </c>
      <c r="C126" s="193" t="s">
        <v>1094</v>
      </c>
      <c r="D126" s="193" t="s">
        <v>1098</v>
      </c>
      <c r="E126" s="195" t="s">
        <v>737</v>
      </c>
      <c r="F126" s="195" t="s">
        <v>586</v>
      </c>
      <c r="G126" s="193" t="s">
        <v>972</v>
      </c>
      <c r="H126" s="193" t="s">
        <v>2750</v>
      </c>
      <c r="I126" s="193" t="s">
        <v>310</v>
      </c>
      <c r="J126" s="193" t="s">
        <v>2580</v>
      </c>
      <c r="K126" s="196" t="s">
        <v>543</v>
      </c>
      <c r="L126" s="259" t="s">
        <v>238</v>
      </c>
      <c r="M126" s="193" t="s">
        <v>4383</v>
      </c>
    </row>
    <row r="127" spans="1:13" ht="28.5">
      <c r="A127" s="193" t="str">
        <f t="shared" si="1"/>
        <v>DefinitionsC26</v>
      </c>
      <c r="B127" s="193" t="s">
        <v>1812</v>
      </c>
      <c r="C127" s="193" t="s">
        <v>1097</v>
      </c>
      <c r="D127" s="193" t="s">
        <v>1101</v>
      </c>
      <c r="E127" s="195" t="s">
        <v>738</v>
      </c>
      <c r="F127" s="195" t="s">
        <v>587</v>
      </c>
      <c r="G127" s="193" t="s">
        <v>1986</v>
      </c>
      <c r="H127" s="193" t="s">
        <v>1101</v>
      </c>
      <c r="I127" s="193" t="s">
        <v>311</v>
      </c>
      <c r="J127" s="193" t="s">
        <v>1101</v>
      </c>
      <c r="K127" s="196" t="s">
        <v>1101</v>
      </c>
      <c r="L127" s="259" t="s">
        <v>1101</v>
      </c>
      <c r="M127" s="193" t="s">
        <v>4384</v>
      </c>
    </row>
    <row r="128" spans="1:13" ht="189.75">
      <c r="A128" s="193" t="str">
        <f t="shared" si="1"/>
        <v>DefinitionsC27</v>
      </c>
      <c r="B128" s="193" t="s">
        <v>1812</v>
      </c>
      <c r="C128" s="193" t="s">
        <v>1100</v>
      </c>
      <c r="D128" s="193" t="s">
        <v>1104</v>
      </c>
      <c r="E128" s="195" t="s">
        <v>739</v>
      </c>
      <c r="F128" s="195" t="s">
        <v>588</v>
      </c>
      <c r="G128" s="193" t="s">
        <v>973</v>
      </c>
      <c r="H128" s="193" t="s">
        <v>2725</v>
      </c>
      <c r="I128" s="193" t="s">
        <v>312</v>
      </c>
      <c r="J128" s="193" t="s">
        <v>2606</v>
      </c>
      <c r="K128" s="196" t="s">
        <v>544</v>
      </c>
      <c r="L128" s="259" t="s">
        <v>239</v>
      </c>
      <c r="M128" s="193" t="s">
        <v>4385</v>
      </c>
    </row>
    <row r="129" spans="1:13" ht="128.25">
      <c r="A129" s="193" t="str">
        <f>B129&amp;C129</f>
        <v>DefinitionsC28</v>
      </c>
      <c r="B129" s="193" t="s">
        <v>1812</v>
      </c>
      <c r="C129" s="193" t="s">
        <v>1103</v>
      </c>
      <c r="D129" s="193" t="s">
        <v>1108</v>
      </c>
      <c r="E129" s="195" t="s">
        <v>740</v>
      </c>
      <c r="F129" s="195" t="s">
        <v>589</v>
      </c>
      <c r="G129" s="193" t="s">
        <v>974</v>
      </c>
      <c r="H129" s="193" t="s">
        <v>708</v>
      </c>
      <c r="I129" s="193" t="s">
        <v>313</v>
      </c>
      <c r="J129" s="193" t="s">
        <v>2607</v>
      </c>
      <c r="K129" s="196" t="s">
        <v>545</v>
      </c>
      <c r="L129" s="259" t="s">
        <v>240</v>
      </c>
      <c r="M129" s="193" t="s">
        <v>4386</v>
      </c>
    </row>
    <row r="130" spans="1:13" ht="252">
      <c r="A130" s="193" t="str">
        <f t="shared" si="1"/>
        <v>DefinitionsC29</v>
      </c>
      <c r="B130" s="193" t="s">
        <v>1812</v>
      </c>
      <c r="C130" s="193" t="s">
        <v>1106</v>
      </c>
      <c r="D130" s="193" t="s">
        <v>1112</v>
      </c>
      <c r="E130" s="195" t="s">
        <v>741</v>
      </c>
      <c r="F130" s="195" t="s">
        <v>4110</v>
      </c>
      <c r="G130" s="193" t="s">
        <v>975</v>
      </c>
      <c r="H130" s="193" t="s">
        <v>2726</v>
      </c>
      <c r="I130" s="193" t="s">
        <v>314</v>
      </c>
      <c r="J130" s="193" t="s">
        <v>2581</v>
      </c>
      <c r="K130" s="196" t="s">
        <v>546</v>
      </c>
      <c r="L130" s="259" t="s">
        <v>241</v>
      </c>
      <c r="M130" s="193" t="s">
        <v>4387</v>
      </c>
    </row>
    <row r="131" spans="1:13" ht="270.75">
      <c r="A131" s="193" t="str">
        <f t="shared" si="1"/>
        <v>DefinitionsC30</v>
      </c>
      <c r="B131" s="193" t="s">
        <v>1812</v>
      </c>
      <c r="C131" s="193" t="s">
        <v>1111</v>
      </c>
      <c r="D131" s="193" t="s">
        <v>1115</v>
      </c>
      <c r="E131" s="271" t="s">
        <v>4112</v>
      </c>
      <c r="F131" s="272" t="s">
        <v>4111</v>
      </c>
      <c r="G131" s="193" t="s">
        <v>976</v>
      </c>
      <c r="H131" s="195" t="s">
        <v>426</v>
      </c>
      <c r="I131" s="193" t="s">
        <v>315</v>
      </c>
      <c r="J131" s="193" t="s">
        <v>2582</v>
      </c>
      <c r="K131" s="196" t="s">
        <v>547</v>
      </c>
      <c r="L131" s="259" t="s">
        <v>242</v>
      </c>
      <c r="M131" s="193" t="s">
        <v>4388</v>
      </c>
    </row>
    <row r="132" spans="1:13" ht="256.5">
      <c r="A132" s="193" t="str">
        <f t="shared" si="1"/>
        <v>DefinitionsC31</v>
      </c>
      <c r="B132" s="193" t="s">
        <v>1812</v>
      </c>
      <c r="C132" s="193" t="s">
        <v>1114</v>
      </c>
      <c r="D132" s="193" t="s">
        <v>773</v>
      </c>
      <c r="E132" s="195" t="s">
        <v>742</v>
      </c>
      <c r="F132" s="195" t="s">
        <v>4113</v>
      </c>
      <c r="G132" s="193" t="s">
        <v>977</v>
      </c>
      <c r="H132" s="195" t="s">
        <v>427</v>
      </c>
      <c r="I132" s="193" t="s">
        <v>316</v>
      </c>
      <c r="J132" s="193" t="s">
        <v>2608</v>
      </c>
      <c r="K132" s="196" t="s">
        <v>548</v>
      </c>
      <c r="L132" s="259" t="s">
        <v>243</v>
      </c>
      <c r="M132" s="193" t="s">
        <v>4389</v>
      </c>
    </row>
    <row r="133" spans="1:13" ht="28.5">
      <c r="A133" s="193" t="str">
        <f t="shared" si="1"/>
        <v>DeclarationD2</v>
      </c>
      <c r="B133" s="193" t="s">
        <v>1855</v>
      </c>
      <c r="C133" s="193" t="s">
        <v>1865</v>
      </c>
      <c r="D133" s="193" t="s">
        <v>774</v>
      </c>
      <c r="E133" s="193" t="s">
        <v>774</v>
      </c>
      <c r="F133" s="195" t="s">
        <v>774</v>
      </c>
      <c r="G133" s="193" t="s">
        <v>774</v>
      </c>
      <c r="H133" s="193" t="s">
        <v>774</v>
      </c>
      <c r="I133" s="193" t="s">
        <v>774</v>
      </c>
      <c r="J133" s="193" t="s">
        <v>774</v>
      </c>
      <c r="K133" s="193" t="s">
        <v>774</v>
      </c>
      <c r="L133" s="259" t="s">
        <v>774</v>
      </c>
      <c r="M133" s="259" t="s">
        <v>774</v>
      </c>
    </row>
    <row r="134" spans="1:13" s="220" customFormat="1" ht="28.5">
      <c r="A134" s="193" t="str">
        <f t="shared" si="1"/>
        <v>DeclarationF3</v>
      </c>
      <c r="B134" s="193" t="s">
        <v>1855</v>
      </c>
      <c r="C134" s="193" t="s">
        <v>3513</v>
      </c>
      <c r="D134" s="193" t="s">
        <v>3514</v>
      </c>
      <c r="E134" s="193" t="s">
        <v>3530</v>
      </c>
      <c r="F134" s="193" t="s">
        <v>3531</v>
      </c>
      <c r="G134" s="193" t="s">
        <v>3532</v>
      </c>
      <c r="H134" s="193" t="s">
        <v>3533</v>
      </c>
      <c r="I134" s="193" t="s">
        <v>3534</v>
      </c>
      <c r="J134" s="193" t="s">
        <v>3535</v>
      </c>
      <c r="K134" s="193" t="s">
        <v>3536</v>
      </c>
      <c r="L134" s="193" t="s">
        <v>3537</v>
      </c>
      <c r="M134" s="193" t="s">
        <v>4390</v>
      </c>
    </row>
    <row r="135" spans="1:13" s="220" customFormat="1" ht="28.5">
      <c r="A135" s="193" t="str">
        <f t="shared" si="1"/>
        <v>DeclarationI3</v>
      </c>
      <c r="B135" s="193" t="s">
        <v>1855</v>
      </c>
      <c r="C135" s="193" t="s">
        <v>3515</v>
      </c>
      <c r="D135" s="193" t="s">
        <v>3516</v>
      </c>
      <c r="E135" s="193" t="s">
        <v>3538</v>
      </c>
      <c r="F135" s="193" t="s">
        <v>3539</v>
      </c>
      <c r="G135" s="193" t="s">
        <v>3540</v>
      </c>
      <c r="H135" s="193" t="s">
        <v>3541</v>
      </c>
      <c r="I135" s="193" t="s">
        <v>3542</v>
      </c>
      <c r="J135" s="193" t="s">
        <v>3543</v>
      </c>
      <c r="K135" s="193" t="s">
        <v>3544</v>
      </c>
      <c r="L135" s="193" t="s">
        <v>3545</v>
      </c>
      <c r="M135" s="193" t="s">
        <v>4391</v>
      </c>
    </row>
    <row r="136" spans="1:13" s="220" customFormat="1">
      <c r="A136" s="193" t="str">
        <f t="shared" si="1"/>
        <v>DeclarationI4</v>
      </c>
      <c r="B136" s="193" t="s">
        <v>1855</v>
      </c>
      <c r="C136" s="193" t="s">
        <v>2504</v>
      </c>
      <c r="D136" s="193" t="s">
        <v>1797</v>
      </c>
      <c r="E136" s="193" t="s">
        <v>3546</v>
      </c>
      <c r="F136" s="193" t="s">
        <v>3547</v>
      </c>
      <c r="G136" s="193" t="s">
        <v>3548</v>
      </c>
      <c r="H136" s="193" t="s">
        <v>3549</v>
      </c>
      <c r="I136" s="193" t="s">
        <v>3550</v>
      </c>
      <c r="J136" s="193" t="s">
        <v>3551</v>
      </c>
      <c r="K136" s="193" t="s">
        <v>3552</v>
      </c>
      <c r="L136" s="193" t="s">
        <v>3553</v>
      </c>
      <c r="M136" s="193" t="s">
        <v>4392</v>
      </c>
    </row>
    <row r="137" spans="1:13" ht="71.25">
      <c r="A137" s="193" t="str">
        <f t="shared" si="1"/>
        <v>DeclarationB4</v>
      </c>
      <c r="B137" s="193" t="s">
        <v>1855</v>
      </c>
      <c r="C137" s="193" t="s">
        <v>1814</v>
      </c>
      <c r="D137" s="193" t="s">
        <v>1476</v>
      </c>
      <c r="E137" s="193" t="s">
        <v>743</v>
      </c>
      <c r="F137" s="195" t="s">
        <v>1999</v>
      </c>
      <c r="G137" s="193" t="s">
        <v>1515</v>
      </c>
      <c r="H137" s="193" t="s">
        <v>669</v>
      </c>
      <c r="I137" s="193" t="s">
        <v>317</v>
      </c>
      <c r="J137" s="193" t="s">
        <v>2583</v>
      </c>
      <c r="K137" s="196" t="s">
        <v>549</v>
      </c>
      <c r="L137" s="259" t="s">
        <v>853</v>
      </c>
      <c r="M137" s="193" t="s">
        <v>4393</v>
      </c>
    </row>
    <row r="138" spans="1:13" ht="28.5">
      <c r="A138" s="193" t="str">
        <f t="shared" si="1"/>
        <v>DeclarationB6</v>
      </c>
      <c r="B138" s="193" t="s">
        <v>1855</v>
      </c>
      <c r="C138" s="193" t="s">
        <v>1816</v>
      </c>
      <c r="D138" s="193" t="s">
        <v>4811</v>
      </c>
      <c r="E138" s="193" t="s">
        <v>4819</v>
      </c>
      <c r="F138" s="195" t="s">
        <v>4825</v>
      </c>
      <c r="G138" s="193" t="s">
        <v>4831</v>
      </c>
      <c r="H138" s="193" t="s">
        <v>4837</v>
      </c>
      <c r="I138" s="193" t="s">
        <v>4843</v>
      </c>
      <c r="J138" s="193" t="s">
        <v>4849</v>
      </c>
      <c r="K138" s="196" t="s">
        <v>4855</v>
      </c>
      <c r="L138" s="259" t="s">
        <v>4861</v>
      </c>
      <c r="M138" s="193" t="s">
        <v>4867</v>
      </c>
    </row>
    <row r="139" spans="1:13" ht="99.75">
      <c r="A139" s="193" t="str">
        <f t="shared" si="1"/>
        <v>DeclarationB7</v>
      </c>
      <c r="B139" s="193" t="s">
        <v>1855</v>
      </c>
      <c r="C139" s="193" t="s">
        <v>1817</v>
      </c>
      <c r="D139" s="193" t="s">
        <v>1927</v>
      </c>
      <c r="E139" s="193" t="s">
        <v>1771</v>
      </c>
      <c r="F139" s="195" t="s">
        <v>1772</v>
      </c>
      <c r="G139" s="193" t="s">
        <v>1773</v>
      </c>
      <c r="H139" s="193" t="s">
        <v>670</v>
      </c>
      <c r="I139" s="193" t="s">
        <v>318</v>
      </c>
      <c r="J139" s="193" t="s">
        <v>2439</v>
      </c>
      <c r="K139" s="196" t="s">
        <v>550</v>
      </c>
      <c r="L139" s="259" t="s">
        <v>854</v>
      </c>
      <c r="M139" s="193" t="s">
        <v>4394</v>
      </c>
    </row>
    <row r="140" spans="1:13" ht="17.25">
      <c r="A140" s="193" t="str">
        <f t="shared" si="1"/>
        <v>DeclarationB8</v>
      </c>
      <c r="B140" s="193" t="s">
        <v>1855</v>
      </c>
      <c r="C140" s="193" t="s">
        <v>1818</v>
      </c>
      <c r="D140" s="193" t="s">
        <v>1473</v>
      </c>
      <c r="E140" s="193" t="s">
        <v>2727</v>
      </c>
      <c r="F140" s="195" t="s">
        <v>2002</v>
      </c>
      <c r="G140" s="193" t="s">
        <v>1987</v>
      </c>
      <c r="H140" s="193" t="s">
        <v>1516</v>
      </c>
      <c r="I140" s="193" t="s">
        <v>319</v>
      </c>
      <c r="J140" s="193" t="s">
        <v>1517</v>
      </c>
      <c r="K140" s="196" t="s">
        <v>551</v>
      </c>
      <c r="L140" s="259" t="s">
        <v>855</v>
      </c>
      <c r="M140" s="193" t="s">
        <v>4395</v>
      </c>
    </row>
    <row r="141" spans="1:13" ht="17.25">
      <c r="A141" s="193" t="str">
        <f t="shared" si="1"/>
        <v>DeclarationB9</v>
      </c>
      <c r="B141" s="193" t="s">
        <v>1855</v>
      </c>
      <c r="C141" s="193" t="s">
        <v>1819</v>
      </c>
      <c r="D141" s="193" t="s">
        <v>914</v>
      </c>
      <c r="E141" s="195" t="s">
        <v>472</v>
      </c>
      <c r="F141" s="195" t="s">
        <v>590</v>
      </c>
      <c r="G141" s="193" t="s">
        <v>978</v>
      </c>
      <c r="H141" s="193" t="s">
        <v>1518</v>
      </c>
      <c r="I141" s="193" t="s">
        <v>320</v>
      </c>
      <c r="J141" s="193" t="s">
        <v>4078</v>
      </c>
      <c r="K141" s="196" t="s">
        <v>552</v>
      </c>
      <c r="L141" s="259" t="s">
        <v>856</v>
      </c>
      <c r="M141" s="193" t="s">
        <v>4396</v>
      </c>
    </row>
    <row r="142" spans="1:13" ht="28.5">
      <c r="A142" s="193" t="str">
        <f t="shared" si="1"/>
        <v>DeclarationB10</v>
      </c>
      <c r="B142" s="193" t="s">
        <v>1855</v>
      </c>
      <c r="C142" s="193" t="s">
        <v>931</v>
      </c>
      <c r="D142" s="193" t="s">
        <v>928</v>
      </c>
      <c r="E142" s="193" t="s">
        <v>744</v>
      </c>
      <c r="F142" s="195" t="s">
        <v>591</v>
      </c>
      <c r="G142" s="193" t="s">
        <v>979</v>
      </c>
      <c r="H142" s="193" t="s">
        <v>932</v>
      </c>
      <c r="I142" s="193" t="s">
        <v>321</v>
      </c>
      <c r="J142" s="193" t="s">
        <v>4079</v>
      </c>
      <c r="K142" s="196" t="s">
        <v>553</v>
      </c>
      <c r="L142" s="259" t="s">
        <v>935</v>
      </c>
      <c r="M142" s="193" t="s">
        <v>4397</v>
      </c>
    </row>
    <row r="143" spans="1:13" ht="28.5">
      <c r="A143" s="193" t="str">
        <f>B143&amp;C143</f>
        <v>DeclarationB10A</v>
      </c>
      <c r="B143" s="193" t="s">
        <v>1855</v>
      </c>
      <c r="C143" s="193" t="s">
        <v>2728</v>
      </c>
      <c r="D143" s="193" t="s">
        <v>928</v>
      </c>
      <c r="E143" s="193" t="s">
        <v>744</v>
      </c>
      <c r="F143" s="195" t="s">
        <v>591</v>
      </c>
      <c r="G143" s="193" t="s">
        <v>979</v>
      </c>
      <c r="H143" s="193" t="s">
        <v>932</v>
      </c>
      <c r="I143" s="193" t="s">
        <v>321</v>
      </c>
      <c r="J143" s="193" t="s">
        <v>4079</v>
      </c>
      <c r="K143" s="196" t="s">
        <v>553</v>
      </c>
      <c r="L143" s="259" t="s">
        <v>935</v>
      </c>
      <c r="M143" s="193" t="s">
        <v>4397</v>
      </c>
    </row>
    <row r="144" spans="1:13" ht="28.5">
      <c r="A144" s="193" t="str">
        <f>B144&amp;C144</f>
        <v>DeclarationB10C</v>
      </c>
      <c r="B144" s="193" t="s">
        <v>1855</v>
      </c>
      <c r="C144" s="193" t="s">
        <v>2729</v>
      </c>
      <c r="D144" s="193" t="s">
        <v>929</v>
      </c>
      <c r="E144" s="193" t="s">
        <v>2730</v>
      </c>
      <c r="F144" s="195" t="s">
        <v>592</v>
      </c>
      <c r="G144" s="193" t="s">
        <v>980</v>
      </c>
      <c r="H144" s="193" t="s">
        <v>933</v>
      </c>
      <c r="I144" s="193" t="s">
        <v>322</v>
      </c>
      <c r="J144" s="193" t="s">
        <v>4080</v>
      </c>
      <c r="K144" s="196" t="s">
        <v>554</v>
      </c>
      <c r="L144" s="259" t="s">
        <v>936</v>
      </c>
      <c r="M144" s="193" t="s">
        <v>4398</v>
      </c>
    </row>
    <row r="145" spans="1:13" ht="42.75">
      <c r="A145" s="193" t="str">
        <f>B145&amp;C145</f>
        <v>DeclarationB10B</v>
      </c>
      <c r="B145" s="193" t="s">
        <v>1855</v>
      </c>
      <c r="C145" s="193" t="s">
        <v>2731</v>
      </c>
      <c r="D145" s="193" t="s">
        <v>930</v>
      </c>
      <c r="E145" s="195" t="s">
        <v>745</v>
      </c>
      <c r="F145" s="195" t="s">
        <v>504</v>
      </c>
      <c r="G145" s="193" t="s">
        <v>981</v>
      </c>
      <c r="H145" s="193" t="s">
        <v>671</v>
      </c>
      <c r="I145" s="193" t="s">
        <v>323</v>
      </c>
      <c r="J145" s="193" t="s">
        <v>934</v>
      </c>
      <c r="K145" s="196" t="s">
        <v>555</v>
      </c>
      <c r="L145" s="259" t="s">
        <v>937</v>
      </c>
      <c r="M145" s="193" t="s">
        <v>4399</v>
      </c>
    </row>
    <row r="146" spans="1:13" s="220" customFormat="1" ht="42.75">
      <c r="A146" s="193" t="str">
        <f>B146&amp;C146</f>
        <v>DeclarationD11</v>
      </c>
      <c r="B146" s="193" t="s">
        <v>1855</v>
      </c>
      <c r="C146" s="193" t="s">
        <v>3052</v>
      </c>
      <c r="D146" s="193" t="s">
        <v>3051</v>
      </c>
      <c r="E146" s="193" t="s">
        <v>3554</v>
      </c>
      <c r="F146" s="193" t="s">
        <v>3555</v>
      </c>
      <c r="G146" s="193" t="s">
        <v>3556</v>
      </c>
      <c r="H146" s="193" t="s">
        <v>3557</v>
      </c>
      <c r="I146" s="193" t="s">
        <v>3558</v>
      </c>
      <c r="J146" s="193" t="s">
        <v>3559</v>
      </c>
      <c r="K146" s="193" t="s">
        <v>3560</v>
      </c>
      <c r="L146" s="193" t="s">
        <v>3561</v>
      </c>
      <c r="M146" s="193" t="s">
        <v>4400</v>
      </c>
    </row>
    <row r="147" spans="1:13" ht="42.75">
      <c r="A147" s="193" t="str">
        <f t="shared" si="1"/>
        <v>DeclarationB12</v>
      </c>
      <c r="B147" s="193" t="s">
        <v>1855</v>
      </c>
      <c r="C147" s="193" t="s">
        <v>1822</v>
      </c>
      <c r="D147" s="193" t="s">
        <v>875</v>
      </c>
      <c r="E147" s="195" t="s">
        <v>746</v>
      </c>
      <c r="F147" s="195" t="s">
        <v>2003</v>
      </c>
      <c r="G147" s="193" t="s">
        <v>1988</v>
      </c>
      <c r="H147" s="193" t="s">
        <v>672</v>
      </c>
      <c r="I147" s="193" t="s">
        <v>324</v>
      </c>
      <c r="J147" s="193" t="s">
        <v>4081</v>
      </c>
      <c r="K147" s="196" t="s">
        <v>556</v>
      </c>
      <c r="L147" s="259" t="s">
        <v>857</v>
      </c>
      <c r="M147" s="193" t="s">
        <v>4401</v>
      </c>
    </row>
    <row r="148" spans="1:13" ht="28.5">
      <c r="A148" s="193" t="str">
        <f t="shared" si="1"/>
        <v>DeclarationB13</v>
      </c>
      <c r="B148" s="193" t="s">
        <v>1855</v>
      </c>
      <c r="C148" s="193" t="s">
        <v>1823</v>
      </c>
      <c r="D148" s="193" t="s">
        <v>876</v>
      </c>
      <c r="E148" s="195" t="s">
        <v>747</v>
      </c>
      <c r="F148" s="195" t="s">
        <v>593</v>
      </c>
      <c r="G148" s="193" t="s">
        <v>982</v>
      </c>
      <c r="H148" s="193" t="s">
        <v>673</v>
      </c>
      <c r="I148" s="193" t="s">
        <v>325</v>
      </c>
      <c r="J148" s="193" t="s">
        <v>4082</v>
      </c>
      <c r="K148" s="196" t="s">
        <v>557</v>
      </c>
      <c r="L148" s="259" t="s">
        <v>78</v>
      </c>
      <c r="M148" s="193" t="s">
        <v>4402</v>
      </c>
    </row>
    <row r="149" spans="1:13" ht="28.5">
      <c r="A149" s="193" t="str">
        <f t="shared" si="1"/>
        <v>DeclarationB14</v>
      </c>
      <c r="B149" s="193" t="s">
        <v>1855</v>
      </c>
      <c r="C149" s="193" t="s">
        <v>1824</v>
      </c>
      <c r="D149" s="193" t="s">
        <v>1470</v>
      </c>
      <c r="E149" s="195" t="s">
        <v>748</v>
      </c>
      <c r="F149" s="195" t="s">
        <v>2004</v>
      </c>
      <c r="G149" s="193" t="s">
        <v>1989</v>
      </c>
      <c r="H149" s="193" t="s">
        <v>1519</v>
      </c>
      <c r="I149" s="193" t="s">
        <v>326</v>
      </c>
      <c r="J149" s="193" t="s">
        <v>1519</v>
      </c>
      <c r="K149" s="196" t="s">
        <v>558</v>
      </c>
      <c r="L149" s="259" t="s">
        <v>858</v>
      </c>
      <c r="M149" s="193" t="s">
        <v>4403</v>
      </c>
    </row>
    <row r="150" spans="1:13" ht="28.5">
      <c r="A150" s="193" t="str">
        <f t="shared" si="1"/>
        <v>DeclarationB15</v>
      </c>
      <c r="B150" s="193" t="s">
        <v>1855</v>
      </c>
      <c r="C150" s="193" t="s">
        <v>1825</v>
      </c>
      <c r="D150" s="193" t="s">
        <v>877</v>
      </c>
      <c r="E150" s="193" t="s">
        <v>2732</v>
      </c>
      <c r="F150" s="195" t="s">
        <v>594</v>
      </c>
      <c r="G150" s="193" t="s">
        <v>1520</v>
      </c>
      <c r="H150" s="193" t="s">
        <v>674</v>
      </c>
      <c r="I150" s="193" t="s">
        <v>327</v>
      </c>
      <c r="J150" s="193" t="s">
        <v>4083</v>
      </c>
      <c r="K150" s="196" t="s">
        <v>559</v>
      </c>
      <c r="L150" s="259" t="s">
        <v>244</v>
      </c>
      <c r="M150" s="193" t="s">
        <v>4404</v>
      </c>
    </row>
    <row r="151" spans="1:13" ht="28.5">
      <c r="A151" s="193" t="str">
        <f t="shared" si="1"/>
        <v>DeclarationB16</v>
      </c>
      <c r="B151" s="193" t="s">
        <v>1855</v>
      </c>
      <c r="C151" s="193" t="s">
        <v>1826</v>
      </c>
      <c r="D151" s="193" t="s">
        <v>878</v>
      </c>
      <c r="E151" s="193" t="s">
        <v>2733</v>
      </c>
      <c r="F151" s="195" t="s">
        <v>595</v>
      </c>
      <c r="G151" s="193" t="s">
        <v>1990</v>
      </c>
      <c r="H151" s="193" t="s">
        <v>675</v>
      </c>
      <c r="I151" s="193" t="s">
        <v>328</v>
      </c>
      <c r="J151" s="193" t="s">
        <v>4084</v>
      </c>
      <c r="K151" s="196" t="s">
        <v>560</v>
      </c>
      <c r="L151" s="259" t="s">
        <v>245</v>
      </c>
      <c r="M151" s="193" t="s">
        <v>4405</v>
      </c>
    </row>
    <row r="152" spans="1:13" ht="28.5">
      <c r="A152" s="193" t="str">
        <f t="shared" si="1"/>
        <v>DeclarationB17</v>
      </c>
      <c r="B152" s="193" t="s">
        <v>1855</v>
      </c>
      <c r="C152" s="193" t="s">
        <v>1827</v>
      </c>
      <c r="D152" s="193" t="s">
        <v>879</v>
      </c>
      <c r="E152" s="193" t="s">
        <v>2734</v>
      </c>
      <c r="F152" s="195" t="s">
        <v>596</v>
      </c>
      <c r="G152" s="193" t="s">
        <v>983</v>
      </c>
      <c r="H152" s="193" t="s">
        <v>676</v>
      </c>
      <c r="I152" s="193" t="s">
        <v>329</v>
      </c>
      <c r="J152" s="193" t="s">
        <v>4085</v>
      </c>
      <c r="K152" s="196" t="s">
        <v>561</v>
      </c>
      <c r="L152" s="259" t="s">
        <v>246</v>
      </c>
      <c r="M152" s="193" t="s">
        <v>4406</v>
      </c>
    </row>
    <row r="153" spans="1:13" ht="28.5">
      <c r="A153" s="193" t="str">
        <f t="shared" si="1"/>
        <v>DeclarationB18</v>
      </c>
      <c r="B153" s="193" t="s">
        <v>1855</v>
      </c>
      <c r="C153" s="193" t="s">
        <v>1828</v>
      </c>
      <c r="D153" s="193" t="s">
        <v>918</v>
      </c>
      <c r="E153" s="193" t="s">
        <v>2735</v>
      </c>
      <c r="F153" s="195" t="s">
        <v>1866</v>
      </c>
      <c r="G153" s="193" t="s">
        <v>984</v>
      </c>
      <c r="H153" s="193" t="s">
        <v>182</v>
      </c>
      <c r="I153" s="193" t="s">
        <v>330</v>
      </c>
      <c r="J153" s="193" t="s">
        <v>2613</v>
      </c>
      <c r="K153" s="196" t="s">
        <v>562</v>
      </c>
      <c r="L153" s="259" t="s">
        <v>247</v>
      </c>
      <c r="M153" s="193" t="s">
        <v>4407</v>
      </c>
    </row>
    <row r="154" spans="1:13" ht="28.5">
      <c r="A154" s="193" t="str">
        <f t="shared" si="1"/>
        <v>DeclarationB19</v>
      </c>
      <c r="B154" s="193" t="s">
        <v>1855</v>
      </c>
      <c r="C154" s="193" t="s">
        <v>1829</v>
      </c>
      <c r="D154" s="193" t="s">
        <v>919</v>
      </c>
      <c r="E154" s="193" t="s">
        <v>2736</v>
      </c>
      <c r="F154" s="195" t="s">
        <v>1867</v>
      </c>
      <c r="G154" s="193" t="s">
        <v>985</v>
      </c>
      <c r="H154" s="193" t="s">
        <v>1176</v>
      </c>
      <c r="I154" s="193" t="s">
        <v>331</v>
      </c>
      <c r="J154" s="193" t="s">
        <v>4086</v>
      </c>
      <c r="K154" s="196" t="s">
        <v>563</v>
      </c>
      <c r="L154" s="259" t="s">
        <v>248</v>
      </c>
      <c r="M154" s="193" t="s">
        <v>4408</v>
      </c>
    </row>
    <row r="155" spans="1:13" ht="28.5">
      <c r="A155" s="193" t="str">
        <f t="shared" si="1"/>
        <v>DeclarationB20</v>
      </c>
      <c r="B155" s="193" t="s">
        <v>1855</v>
      </c>
      <c r="C155" s="193" t="s">
        <v>1830</v>
      </c>
      <c r="D155" s="193" t="s">
        <v>920</v>
      </c>
      <c r="E155" s="193" t="s">
        <v>2737</v>
      </c>
      <c r="F155" s="195" t="s">
        <v>1868</v>
      </c>
      <c r="G155" s="193" t="s">
        <v>986</v>
      </c>
      <c r="H155" s="193" t="s">
        <v>677</v>
      </c>
      <c r="I155" s="193" t="s">
        <v>332</v>
      </c>
      <c r="J155" s="193" t="s">
        <v>4087</v>
      </c>
      <c r="K155" s="196" t="s">
        <v>564</v>
      </c>
      <c r="L155" s="259" t="s">
        <v>249</v>
      </c>
      <c r="M155" s="193" t="s">
        <v>4409</v>
      </c>
    </row>
    <row r="156" spans="1:13" ht="28.5">
      <c r="A156" s="193" t="str">
        <f t="shared" si="1"/>
        <v>DeclarationB21</v>
      </c>
      <c r="B156" s="193" t="s">
        <v>1855</v>
      </c>
      <c r="C156" s="193" t="s">
        <v>1831</v>
      </c>
      <c r="D156" s="193" t="s">
        <v>921</v>
      </c>
      <c r="E156" s="193" t="s">
        <v>2738</v>
      </c>
      <c r="F156" s="195" t="s">
        <v>597</v>
      </c>
      <c r="G156" s="193" t="s">
        <v>987</v>
      </c>
      <c r="H156" s="193" t="s">
        <v>678</v>
      </c>
      <c r="I156" s="193" t="s">
        <v>333</v>
      </c>
      <c r="J156" s="193" t="s">
        <v>4088</v>
      </c>
      <c r="K156" s="196" t="s">
        <v>565</v>
      </c>
      <c r="L156" s="259" t="s">
        <v>250</v>
      </c>
      <c r="M156" s="193" t="s">
        <v>4410</v>
      </c>
    </row>
    <row r="157" spans="1:13" ht="28.5">
      <c r="A157" s="193" t="str">
        <f t="shared" si="1"/>
        <v>DeclarationB22</v>
      </c>
      <c r="B157" s="193" t="s">
        <v>1855</v>
      </c>
      <c r="C157" s="193" t="s">
        <v>1832</v>
      </c>
      <c r="D157" s="193" t="s">
        <v>880</v>
      </c>
      <c r="E157" s="193" t="s">
        <v>2739</v>
      </c>
      <c r="F157" s="195" t="s">
        <v>2005</v>
      </c>
      <c r="G157" s="193" t="s">
        <v>988</v>
      </c>
      <c r="H157" s="193" t="s">
        <v>679</v>
      </c>
      <c r="I157" s="193" t="s">
        <v>334</v>
      </c>
      <c r="J157" s="193" t="s">
        <v>2614</v>
      </c>
      <c r="K157" s="196" t="s">
        <v>566</v>
      </c>
      <c r="L157" s="259" t="s">
        <v>251</v>
      </c>
      <c r="M157" s="193" t="s">
        <v>4411</v>
      </c>
    </row>
    <row r="158" spans="1:13" ht="42.75">
      <c r="A158" s="193" t="str">
        <f t="shared" si="1"/>
        <v>DeclarationB24</v>
      </c>
      <c r="B158" s="193" t="s">
        <v>1855</v>
      </c>
      <c r="C158" s="193" t="s">
        <v>1863</v>
      </c>
      <c r="D158" s="193" t="s">
        <v>2751</v>
      </c>
      <c r="E158" s="195" t="s">
        <v>749</v>
      </c>
      <c r="F158" s="195" t="s">
        <v>598</v>
      </c>
      <c r="G158" s="193" t="s">
        <v>989</v>
      </c>
      <c r="H158" s="193" t="s">
        <v>680</v>
      </c>
      <c r="I158" s="193" t="s">
        <v>335</v>
      </c>
      <c r="J158" s="193" t="s">
        <v>4089</v>
      </c>
      <c r="K158" s="196" t="s">
        <v>567</v>
      </c>
      <c r="L158" s="259" t="s">
        <v>859</v>
      </c>
      <c r="M158" s="193" t="s">
        <v>4412</v>
      </c>
    </row>
    <row r="159" spans="1:13" ht="28.5">
      <c r="A159" s="193" t="str">
        <f>B159&amp;C159</f>
        <v>DeclarationB25</v>
      </c>
      <c r="B159" s="193" t="s">
        <v>1855</v>
      </c>
      <c r="C159" s="193" t="s">
        <v>890</v>
      </c>
      <c r="D159" s="194" t="s">
        <v>2776</v>
      </c>
      <c r="E159" s="194" t="s">
        <v>2840</v>
      </c>
      <c r="F159" s="208" t="s">
        <v>4021</v>
      </c>
      <c r="G159" s="194" t="s">
        <v>2841</v>
      </c>
      <c r="H159" s="194" t="s">
        <v>2842</v>
      </c>
      <c r="I159" s="194" t="s">
        <v>2843</v>
      </c>
      <c r="J159" s="194" t="s">
        <v>2844</v>
      </c>
      <c r="K159" s="194" t="s">
        <v>2845</v>
      </c>
      <c r="L159" s="194" t="s">
        <v>2846</v>
      </c>
      <c r="M159" s="194" t="s">
        <v>4413</v>
      </c>
    </row>
    <row r="160" spans="1:13" ht="63.75">
      <c r="A160" s="193" t="str">
        <f t="shared" si="1"/>
        <v>DeclarationB31</v>
      </c>
      <c r="B160" s="193" t="s">
        <v>1855</v>
      </c>
      <c r="C160" s="193" t="s">
        <v>891</v>
      </c>
      <c r="D160" s="194" t="s">
        <v>2777</v>
      </c>
      <c r="E160" s="194" t="s">
        <v>4147</v>
      </c>
      <c r="F160" s="208" t="s">
        <v>4143</v>
      </c>
      <c r="G160" s="194" t="s">
        <v>2847</v>
      </c>
      <c r="H160" s="194" t="s">
        <v>2848</v>
      </c>
      <c r="I160" s="194" t="s">
        <v>2849</v>
      </c>
      <c r="J160" s="194" t="s">
        <v>2850</v>
      </c>
      <c r="K160" s="194" t="s">
        <v>2851</v>
      </c>
      <c r="L160" s="194" t="s">
        <v>2852</v>
      </c>
      <c r="M160" s="194" t="s">
        <v>4414</v>
      </c>
    </row>
    <row r="161" spans="1:13" ht="51">
      <c r="A161" s="193" t="str">
        <f t="shared" si="1"/>
        <v>DeclarationB37</v>
      </c>
      <c r="B161" s="193" t="s">
        <v>1855</v>
      </c>
      <c r="C161" s="193" t="s">
        <v>892</v>
      </c>
      <c r="D161" s="194" t="s">
        <v>4276</v>
      </c>
      <c r="E161" s="245" t="s">
        <v>4689</v>
      </c>
      <c r="F161" s="208" t="s">
        <v>4690</v>
      </c>
      <c r="G161" s="245" t="s">
        <v>4691</v>
      </c>
      <c r="H161" s="245" t="s">
        <v>4692</v>
      </c>
      <c r="I161" s="245" t="s">
        <v>4693</v>
      </c>
      <c r="J161" s="273" t="s">
        <v>4694</v>
      </c>
      <c r="K161" s="245" t="s">
        <v>4695</v>
      </c>
      <c r="L161" s="245" t="s">
        <v>4696</v>
      </c>
      <c r="M161" s="246" t="s">
        <v>4697</v>
      </c>
    </row>
    <row r="162" spans="1:13" ht="51">
      <c r="A162" s="193" t="str">
        <f t="shared" si="1"/>
        <v>DeclarationB43</v>
      </c>
      <c r="B162" s="193" t="s">
        <v>1855</v>
      </c>
      <c r="C162" s="193" t="s">
        <v>893</v>
      </c>
      <c r="D162" s="194" t="s">
        <v>2883</v>
      </c>
      <c r="E162" s="194" t="s">
        <v>2887</v>
      </c>
      <c r="F162" s="208" t="s">
        <v>4144</v>
      </c>
      <c r="G162" s="194" t="s">
        <v>2891</v>
      </c>
      <c r="H162" s="194" t="s">
        <v>2894</v>
      </c>
      <c r="I162" s="194" t="s">
        <v>2898</v>
      </c>
      <c r="J162" s="194" t="s">
        <v>4139</v>
      </c>
      <c r="K162" s="194" t="s">
        <v>2902</v>
      </c>
      <c r="L162" s="194" t="s">
        <v>2906</v>
      </c>
      <c r="M162" s="194" t="s">
        <v>4415</v>
      </c>
    </row>
    <row r="163" spans="1:13" ht="51">
      <c r="A163" s="193" t="str">
        <f t="shared" si="1"/>
        <v>DeclarationB49</v>
      </c>
      <c r="B163" s="193" t="s">
        <v>1855</v>
      </c>
      <c r="C163" s="193" t="s">
        <v>894</v>
      </c>
      <c r="D163" s="194" t="s">
        <v>2884</v>
      </c>
      <c r="E163" s="194" t="s">
        <v>2888</v>
      </c>
      <c r="F163" s="208" t="s">
        <v>4701</v>
      </c>
      <c r="G163" s="194" t="s">
        <v>4100</v>
      </c>
      <c r="H163" s="194" t="s">
        <v>2895</v>
      </c>
      <c r="I163" s="194" t="s">
        <v>2899</v>
      </c>
      <c r="J163" s="194" t="s">
        <v>4140</v>
      </c>
      <c r="K163" s="194" t="s">
        <v>2903</v>
      </c>
      <c r="L163" s="194" t="s">
        <v>2907</v>
      </c>
      <c r="M163" s="194" t="s">
        <v>4416</v>
      </c>
    </row>
    <row r="164" spans="1:13" ht="38.25">
      <c r="A164" s="193" t="str">
        <f t="shared" si="1"/>
        <v>DeclarationB55</v>
      </c>
      <c r="B164" s="193" t="s">
        <v>1855</v>
      </c>
      <c r="C164" s="193" t="s">
        <v>895</v>
      </c>
      <c r="D164" s="194" t="s">
        <v>2885</v>
      </c>
      <c r="E164" s="194" t="s">
        <v>2889</v>
      </c>
      <c r="F164" s="208" t="s">
        <v>4145</v>
      </c>
      <c r="G164" s="194" t="s">
        <v>2892</v>
      </c>
      <c r="H164" s="194" t="s">
        <v>2896</v>
      </c>
      <c r="I164" s="194" t="s">
        <v>2900</v>
      </c>
      <c r="J164" s="194" t="s">
        <v>4141</v>
      </c>
      <c r="K164" s="194" t="s">
        <v>2904</v>
      </c>
      <c r="L164" s="194" t="s">
        <v>2908</v>
      </c>
      <c r="M164" s="194" t="s">
        <v>4417</v>
      </c>
    </row>
    <row r="165" spans="1:13" ht="51">
      <c r="A165" s="193" t="str">
        <f t="shared" si="1"/>
        <v>DeclarationB61</v>
      </c>
      <c r="B165" s="193" t="s">
        <v>1855</v>
      </c>
      <c r="C165" s="193" t="s">
        <v>1870</v>
      </c>
      <c r="D165" s="194" t="s">
        <v>2886</v>
      </c>
      <c r="E165" s="194" t="s">
        <v>2890</v>
      </c>
      <c r="F165" s="208" t="s">
        <v>4146</v>
      </c>
      <c r="G165" s="194" t="s">
        <v>2893</v>
      </c>
      <c r="H165" s="194" t="s">
        <v>2897</v>
      </c>
      <c r="I165" s="194" t="s">
        <v>2901</v>
      </c>
      <c r="J165" s="194" t="s">
        <v>4142</v>
      </c>
      <c r="K165" s="194" t="s">
        <v>2905</v>
      </c>
      <c r="L165" s="194" t="s">
        <v>2909</v>
      </c>
      <c r="M165" s="194" t="s">
        <v>4418</v>
      </c>
    </row>
    <row r="166" spans="1:13" ht="28.5">
      <c r="A166" s="193" t="str">
        <f t="shared" si="1"/>
        <v>DeclarationB67</v>
      </c>
      <c r="B166" s="193" t="s">
        <v>1855</v>
      </c>
      <c r="C166" s="193" t="s">
        <v>2444</v>
      </c>
      <c r="D166" s="193" t="s">
        <v>1928</v>
      </c>
      <c r="E166" s="195" t="s">
        <v>750</v>
      </c>
      <c r="F166" s="195" t="s">
        <v>1774</v>
      </c>
      <c r="G166" s="193" t="s">
        <v>1775</v>
      </c>
      <c r="H166" s="193" t="s">
        <v>2428</v>
      </c>
      <c r="I166" s="193" t="s">
        <v>336</v>
      </c>
      <c r="J166" s="193" t="s">
        <v>2440</v>
      </c>
      <c r="K166" s="196" t="s">
        <v>391</v>
      </c>
      <c r="L166" s="259" t="s">
        <v>1164</v>
      </c>
      <c r="M166" s="193" t="s">
        <v>4419</v>
      </c>
    </row>
    <row r="167" spans="1:13" ht="42.75">
      <c r="A167" s="193" t="str">
        <f t="shared" si="1"/>
        <v>DeclarationB69</v>
      </c>
      <c r="B167" s="193" t="s">
        <v>1855</v>
      </c>
      <c r="C167" s="193" t="s">
        <v>2461</v>
      </c>
      <c r="D167" s="193" t="s">
        <v>3041</v>
      </c>
      <c r="E167" s="195" t="s">
        <v>4091</v>
      </c>
      <c r="F167" s="195" t="s">
        <v>390</v>
      </c>
      <c r="G167" s="193" t="s">
        <v>1869</v>
      </c>
      <c r="H167" s="193" t="s">
        <v>681</v>
      </c>
      <c r="I167" s="193" t="s">
        <v>337</v>
      </c>
      <c r="J167" s="193" t="s">
        <v>4092</v>
      </c>
      <c r="K167" s="196" t="s">
        <v>392</v>
      </c>
      <c r="L167" s="259" t="s">
        <v>252</v>
      </c>
      <c r="M167" s="193" t="s">
        <v>4420</v>
      </c>
    </row>
    <row r="168" spans="1:13" ht="85.5">
      <c r="A168" s="193" t="str">
        <f t="shared" si="1"/>
        <v>DeclarationB71</v>
      </c>
      <c r="B168" s="193" t="s">
        <v>1855</v>
      </c>
      <c r="C168" s="193" t="s">
        <v>2462</v>
      </c>
      <c r="D168" s="193" t="s">
        <v>3042</v>
      </c>
      <c r="E168" s="195" t="s">
        <v>4090</v>
      </c>
      <c r="F168" s="195" t="s">
        <v>505</v>
      </c>
      <c r="G168" s="193" t="s">
        <v>990</v>
      </c>
      <c r="H168" s="193" t="s">
        <v>682</v>
      </c>
      <c r="I168" s="193" t="s">
        <v>338</v>
      </c>
      <c r="J168" s="193" t="s">
        <v>4099</v>
      </c>
      <c r="K168" s="196" t="s">
        <v>393</v>
      </c>
      <c r="L168" s="259" t="s">
        <v>253</v>
      </c>
      <c r="M168" s="193" t="s">
        <v>4421</v>
      </c>
    </row>
    <row r="169" spans="1:13" ht="42.75">
      <c r="A169" s="193" t="str">
        <f t="shared" ref="A169:A188" si="2">B169&amp;C169</f>
        <v>DeclarationB73</v>
      </c>
      <c r="B169" s="193" t="s">
        <v>1855</v>
      </c>
      <c r="C169" s="193" t="s">
        <v>2466</v>
      </c>
      <c r="D169" s="193" t="s">
        <v>3043</v>
      </c>
      <c r="E169" s="195" t="s">
        <v>751</v>
      </c>
      <c r="F169" s="195" t="s">
        <v>506</v>
      </c>
      <c r="G169" s="193" t="s">
        <v>991</v>
      </c>
      <c r="H169" s="193" t="s">
        <v>683</v>
      </c>
      <c r="I169" s="193" t="s">
        <v>339</v>
      </c>
      <c r="J169" s="193" t="s">
        <v>4093</v>
      </c>
      <c r="K169" s="196" t="s">
        <v>1871</v>
      </c>
      <c r="L169" s="259" t="s">
        <v>1872</v>
      </c>
      <c r="M169" s="193" t="s">
        <v>4422</v>
      </c>
    </row>
    <row r="170" spans="1:13" ht="63.75">
      <c r="A170" s="193" t="str">
        <f t="shared" si="2"/>
        <v>DeclarationB75</v>
      </c>
      <c r="B170" s="193" t="s">
        <v>1855</v>
      </c>
      <c r="C170" s="193" t="s">
        <v>2467</v>
      </c>
      <c r="D170" s="194" t="s">
        <v>3044</v>
      </c>
      <c r="E170" s="194" t="s">
        <v>2853</v>
      </c>
      <c r="F170" s="208" t="s">
        <v>2778</v>
      </c>
      <c r="G170" s="194" t="s">
        <v>4101</v>
      </c>
      <c r="H170" s="194" t="s">
        <v>2854</v>
      </c>
      <c r="I170" s="194" t="s">
        <v>2855</v>
      </c>
      <c r="J170" s="194" t="s">
        <v>4094</v>
      </c>
      <c r="K170" s="194" t="s">
        <v>2856</v>
      </c>
      <c r="L170" s="194" t="s">
        <v>2857</v>
      </c>
      <c r="M170" s="194" t="s">
        <v>4423</v>
      </c>
    </row>
    <row r="171" spans="1:13" ht="40.5">
      <c r="A171" s="193" t="str">
        <f t="shared" si="2"/>
        <v>DeclarationB77</v>
      </c>
      <c r="B171" s="193" t="s">
        <v>1855</v>
      </c>
      <c r="C171" s="193" t="s">
        <v>2469</v>
      </c>
      <c r="D171" s="194" t="s">
        <v>3045</v>
      </c>
      <c r="E171" s="195" t="s">
        <v>752</v>
      </c>
      <c r="F171" s="195" t="s">
        <v>507</v>
      </c>
      <c r="G171" s="194" t="s">
        <v>992</v>
      </c>
      <c r="H171" s="194" t="s">
        <v>684</v>
      </c>
      <c r="I171" s="194" t="s">
        <v>340</v>
      </c>
      <c r="J171" s="194" t="s">
        <v>2620</v>
      </c>
      <c r="K171" s="196" t="s">
        <v>394</v>
      </c>
      <c r="L171" s="197" t="s">
        <v>2460</v>
      </c>
      <c r="M171" s="194" t="s">
        <v>4424</v>
      </c>
    </row>
    <row r="172" spans="1:13" s="220" customFormat="1" ht="114.75">
      <c r="A172" s="193" t="str">
        <f t="shared" si="2"/>
        <v>DeclarationB79</v>
      </c>
      <c r="B172" s="193" t="s">
        <v>1855</v>
      </c>
      <c r="C172" s="193" t="s">
        <v>897</v>
      </c>
      <c r="D172" s="194" t="s">
        <v>3046</v>
      </c>
      <c r="E172" s="194" t="s">
        <v>3562</v>
      </c>
      <c r="F172" s="208" t="s">
        <v>4022</v>
      </c>
      <c r="G172" s="194" t="s">
        <v>3563</v>
      </c>
      <c r="H172" s="194" t="s">
        <v>3564</v>
      </c>
      <c r="I172" s="194" t="s">
        <v>3565</v>
      </c>
      <c r="J172" s="194" t="s">
        <v>4095</v>
      </c>
      <c r="K172" s="194" t="s">
        <v>3566</v>
      </c>
      <c r="L172" s="194" t="s">
        <v>3567</v>
      </c>
      <c r="M172" s="194" t="s">
        <v>4425</v>
      </c>
    </row>
    <row r="173" spans="1:13" ht="40.5">
      <c r="A173" s="193" t="str">
        <f t="shared" si="2"/>
        <v>DeclarationB81</v>
      </c>
      <c r="B173" s="193" t="s">
        <v>1855</v>
      </c>
      <c r="C173" s="193" t="s">
        <v>898</v>
      </c>
      <c r="D173" s="193" t="s">
        <v>3047</v>
      </c>
      <c r="E173" s="195" t="s">
        <v>2463</v>
      </c>
      <c r="F173" s="195" t="s">
        <v>599</v>
      </c>
      <c r="G173" s="193" t="s">
        <v>993</v>
      </c>
      <c r="H173" s="193" t="s">
        <v>2464</v>
      </c>
      <c r="I173" s="193" t="s">
        <v>341</v>
      </c>
      <c r="J173" s="193" t="s">
        <v>4096</v>
      </c>
      <c r="K173" s="196" t="s">
        <v>2465</v>
      </c>
      <c r="L173" s="259" t="s">
        <v>2432</v>
      </c>
      <c r="M173" s="193" t="s">
        <v>4426</v>
      </c>
    </row>
    <row r="174" spans="1:13" ht="57">
      <c r="A174" s="193" t="str">
        <f t="shared" si="2"/>
        <v>DeclarationB83</v>
      </c>
      <c r="B174" s="193" t="s">
        <v>1855</v>
      </c>
      <c r="C174" s="193" t="s">
        <v>899</v>
      </c>
      <c r="D174" s="193" t="s">
        <v>3048</v>
      </c>
      <c r="E174" s="195" t="s">
        <v>753</v>
      </c>
      <c r="F174" s="195" t="s">
        <v>508</v>
      </c>
      <c r="G174" s="193" t="s">
        <v>994</v>
      </c>
      <c r="H174" s="193" t="s">
        <v>685</v>
      </c>
      <c r="I174" s="193" t="s">
        <v>342</v>
      </c>
      <c r="J174" s="193" t="s">
        <v>4097</v>
      </c>
      <c r="K174" s="196" t="s">
        <v>395</v>
      </c>
      <c r="L174" s="259" t="s">
        <v>254</v>
      </c>
      <c r="M174" s="193" t="s">
        <v>4427</v>
      </c>
    </row>
    <row r="175" spans="1:13" ht="42.75">
      <c r="A175" s="193" t="str">
        <f t="shared" si="2"/>
        <v>DeclarationB85</v>
      </c>
      <c r="B175" s="193" t="s">
        <v>1855</v>
      </c>
      <c r="C175" s="193" t="s">
        <v>900</v>
      </c>
      <c r="D175" s="193" t="s">
        <v>3049</v>
      </c>
      <c r="E175" s="195" t="s">
        <v>754</v>
      </c>
      <c r="F175" s="195" t="s">
        <v>600</v>
      </c>
      <c r="G175" s="193" t="s">
        <v>995</v>
      </c>
      <c r="H175" s="193" t="s">
        <v>2468</v>
      </c>
      <c r="I175" s="193" t="s">
        <v>343</v>
      </c>
      <c r="J175" s="193" t="s">
        <v>4098</v>
      </c>
      <c r="K175" s="196" t="s">
        <v>168</v>
      </c>
      <c r="L175" s="259" t="s">
        <v>2433</v>
      </c>
      <c r="M175" s="193" t="s">
        <v>4428</v>
      </c>
    </row>
    <row r="176" spans="1:13" ht="42.75">
      <c r="A176" s="193" t="str">
        <f t="shared" si="2"/>
        <v>DeclarationB87</v>
      </c>
      <c r="B176" s="193" t="s">
        <v>1855</v>
      </c>
      <c r="C176" s="193" t="s">
        <v>901</v>
      </c>
      <c r="D176" s="193" t="s">
        <v>3050</v>
      </c>
      <c r="E176" s="195" t="s">
        <v>755</v>
      </c>
      <c r="F176" s="195" t="s">
        <v>601</v>
      </c>
      <c r="G176" s="193" t="s">
        <v>2470</v>
      </c>
      <c r="H176" s="193" t="s">
        <v>2471</v>
      </c>
      <c r="I176" s="193" t="s">
        <v>344</v>
      </c>
      <c r="J176" s="193" t="s">
        <v>2472</v>
      </c>
      <c r="K176" s="196" t="s">
        <v>396</v>
      </c>
      <c r="L176" s="259" t="s">
        <v>2434</v>
      </c>
      <c r="M176" s="193" t="s">
        <v>4429</v>
      </c>
    </row>
    <row r="177" spans="1:13" ht="28.5">
      <c r="A177" s="193" t="str">
        <f t="shared" si="2"/>
        <v>DeclarationD25</v>
      </c>
      <c r="B177" s="193" t="s">
        <v>1855</v>
      </c>
      <c r="C177" s="193" t="s">
        <v>946</v>
      </c>
      <c r="D177" s="193" t="s">
        <v>1472</v>
      </c>
      <c r="E177" s="195" t="s">
        <v>1504</v>
      </c>
      <c r="F177" s="195" t="s">
        <v>1504</v>
      </c>
      <c r="G177" s="193" t="s">
        <v>1991</v>
      </c>
      <c r="H177" s="193" t="s">
        <v>2429</v>
      </c>
      <c r="I177" s="193" t="s">
        <v>1776</v>
      </c>
      <c r="J177" s="193" t="s">
        <v>1777</v>
      </c>
      <c r="K177" s="196" t="s">
        <v>1778</v>
      </c>
      <c r="L177" s="259" t="s">
        <v>861</v>
      </c>
      <c r="M177" s="193" t="s">
        <v>4430</v>
      </c>
    </row>
    <row r="178" spans="1:13" ht="28.5">
      <c r="A178" s="193" t="str">
        <f t="shared" si="2"/>
        <v>DeclarationB68</v>
      </c>
      <c r="B178" s="193" t="s">
        <v>1855</v>
      </c>
      <c r="C178" s="193" t="s">
        <v>896</v>
      </c>
      <c r="D178" s="193" t="s">
        <v>1929</v>
      </c>
      <c r="E178" s="195" t="s">
        <v>1788</v>
      </c>
      <c r="F178" s="195" t="s">
        <v>1789</v>
      </c>
      <c r="G178" s="193" t="s">
        <v>1790</v>
      </c>
      <c r="H178" s="193" t="s">
        <v>1929</v>
      </c>
      <c r="I178" s="193" t="s">
        <v>1791</v>
      </c>
      <c r="J178" s="193" t="s">
        <v>1792</v>
      </c>
      <c r="K178" s="196" t="s">
        <v>1787</v>
      </c>
      <c r="L178" s="259" t="s">
        <v>860</v>
      </c>
      <c r="M178" s="193" t="s">
        <v>4431</v>
      </c>
    </row>
    <row r="179" spans="1:13" ht="28.5">
      <c r="A179" s="193" t="str">
        <f t="shared" si="2"/>
        <v>DeclarationG25</v>
      </c>
      <c r="B179" s="193" t="s">
        <v>1855</v>
      </c>
      <c r="C179" s="193" t="s">
        <v>947</v>
      </c>
      <c r="D179" s="193" t="s">
        <v>1471</v>
      </c>
      <c r="E179" s="195" t="s">
        <v>1505</v>
      </c>
      <c r="F179" s="195" t="s">
        <v>2000</v>
      </c>
      <c r="G179" s="193" t="s">
        <v>1779</v>
      </c>
      <c r="H179" s="193" t="s">
        <v>1780</v>
      </c>
      <c r="I179" s="193" t="s">
        <v>1781</v>
      </c>
      <c r="J179" s="193" t="s">
        <v>1912</v>
      </c>
      <c r="K179" s="196" t="s">
        <v>1782</v>
      </c>
      <c r="L179" s="259" t="s">
        <v>862</v>
      </c>
      <c r="M179" s="193" t="s">
        <v>4432</v>
      </c>
    </row>
    <row r="180" spans="1:13" ht="28.5">
      <c r="A180" s="193" t="str">
        <f t="shared" si="2"/>
        <v>DeclarationB26</v>
      </c>
      <c r="B180" s="193" t="s">
        <v>1855</v>
      </c>
      <c r="C180" s="193" t="s">
        <v>938</v>
      </c>
      <c r="D180" s="193" t="s">
        <v>2473</v>
      </c>
      <c r="E180" s="195" t="s">
        <v>2619</v>
      </c>
      <c r="F180" s="195" t="s">
        <v>2474</v>
      </c>
      <c r="G180" s="193" t="s">
        <v>2475</v>
      </c>
      <c r="H180" s="193" t="s">
        <v>2476</v>
      </c>
      <c r="I180" s="193" t="s">
        <v>345</v>
      </c>
      <c r="J180" s="193" t="s">
        <v>2477</v>
      </c>
      <c r="K180" s="196" t="s">
        <v>2478</v>
      </c>
      <c r="L180" s="259" t="s">
        <v>2478</v>
      </c>
      <c r="M180" s="193" t="s">
        <v>4433</v>
      </c>
    </row>
    <row r="181" spans="1:13" ht="28.5">
      <c r="A181" s="193" t="str">
        <f t="shared" si="2"/>
        <v>DeclarationB27</v>
      </c>
      <c r="B181" s="193" t="s">
        <v>1855</v>
      </c>
      <c r="C181" s="193" t="s">
        <v>939</v>
      </c>
      <c r="D181" s="193" t="s">
        <v>2479</v>
      </c>
      <c r="E181" s="195" t="s">
        <v>2618</v>
      </c>
      <c r="F181" s="195" t="s">
        <v>2480</v>
      </c>
      <c r="G181" s="193" t="s">
        <v>2481</v>
      </c>
      <c r="H181" s="193" t="s">
        <v>2482</v>
      </c>
      <c r="I181" s="193" t="s">
        <v>346</v>
      </c>
      <c r="J181" s="193" t="s">
        <v>2483</v>
      </c>
      <c r="K181" s="196" t="s">
        <v>2484</v>
      </c>
      <c r="L181" s="259" t="s">
        <v>2485</v>
      </c>
      <c r="M181" s="193" t="s">
        <v>4434</v>
      </c>
    </row>
    <row r="182" spans="1:13" ht="28.5">
      <c r="A182" s="193" t="str">
        <f t="shared" si="2"/>
        <v>DeclarationB28</v>
      </c>
      <c r="B182" s="193" t="s">
        <v>1855</v>
      </c>
      <c r="C182" s="193" t="s">
        <v>940</v>
      </c>
      <c r="D182" s="193" t="s">
        <v>2486</v>
      </c>
      <c r="E182" s="195" t="s">
        <v>2617</v>
      </c>
      <c r="F182" s="195" t="s">
        <v>2487</v>
      </c>
      <c r="G182" s="193" t="s">
        <v>2488</v>
      </c>
      <c r="H182" s="193" t="s">
        <v>2489</v>
      </c>
      <c r="I182" s="193" t="s">
        <v>347</v>
      </c>
      <c r="J182" s="193" t="s">
        <v>2486</v>
      </c>
      <c r="K182" s="196" t="s">
        <v>2490</v>
      </c>
      <c r="L182" s="259" t="s">
        <v>2490</v>
      </c>
      <c r="M182" s="193" t="s">
        <v>4435</v>
      </c>
    </row>
    <row r="183" spans="1:13" ht="28.5">
      <c r="A183" s="193" t="str">
        <f t="shared" si="2"/>
        <v>DeclarationB29</v>
      </c>
      <c r="B183" s="193" t="s">
        <v>1855</v>
      </c>
      <c r="C183" s="193" t="s">
        <v>941</v>
      </c>
      <c r="D183" s="193" t="s">
        <v>2491</v>
      </c>
      <c r="E183" s="195" t="s">
        <v>2616</v>
      </c>
      <c r="F183" s="195" t="s">
        <v>2492</v>
      </c>
      <c r="G183" s="193" t="s">
        <v>2493</v>
      </c>
      <c r="H183" s="193" t="s">
        <v>2494</v>
      </c>
      <c r="I183" s="193" t="s">
        <v>348</v>
      </c>
      <c r="J183" s="193" t="s">
        <v>2495</v>
      </c>
      <c r="K183" s="196" t="s">
        <v>2496</v>
      </c>
      <c r="L183" s="259" t="s">
        <v>2496</v>
      </c>
      <c r="M183" s="193" t="s">
        <v>4436</v>
      </c>
    </row>
    <row r="184" spans="1:13" ht="28.5">
      <c r="A184" s="193" t="str">
        <f t="shared" si="2"/>
        <v>DeclarationB38</v>
      </c>
      <c r="B184" s="193" t="s">
        <v>1855</v>
      </c>
      <c r="C184" s="193" t="s">
        <v>942</v>
      </c>
      <c r="D184" s="193" t="s">
        <v>2473</v>
      </c>
      <c r="E184" s="195" t="s">
        <v>2619</v>
      </c>
      <c r="F184" s="195" t="s">
        <v>2474</v>
      </c>
      <c r="G184" s="193" t="s">
        <v>2475</v>
      </c>
      <c r="H184" s="193" t="s">
        <v>2476</v>
      </c>
      <c r="I184" s="193" t="s">
        <v>345</v>
      </c>
      <c r="J184" s="193" t="s">
        <v>2477</v>
      </c>
      <c r="K184" s="196" t="s">
        <v>2478</v>
      </c>
      <c r="L184" s="259" t="s">
        <v>2478</v>
      </c>
      <c r="M184" s="193" t="s">
        <v>4433</v>
      </c>
    </row>
    <row r="185" spans="1:13" ht="28.5">
      <c r="A185" s="193" t="str">
        <f t="shared" si="2"/>
        <v>DeclarationB39</v>
      </c>
      <c r="B185" s="193" t="s">
        <v>1855</v>
      </c>
      <c r="C185" s="193" t="s">
        <v>943</v>
      </c>
      <c r="D185" s="193" t="s">
        <v>2479</v>
      </c>
      <c r="E185" s="195" t="s">
        <v>2618</v>
      </c>
      <c r="F185" s="195" t="s">
        <v>2480</v>
      </c>
      <c r="G185" s="193" t="s">
        <v>2481</v>
      </c>
      <c r="H185" s="193" t="s">
        <v>2482</v>
      </c>
      <c r="I185" s="193" t="s">
        <v>346</v>
      </c>
      <c r="J185" s="193" t="s">
        <v>2483</v>
      </c>
      <c r="K185" s="196" t="s">
        <v>2484</v>
      </c>
      <c r="L185" s="259" t="s">
        <v>2485</v>
      </c>
      <c r="M185" s="193" t="s">
        <v>4434</v>
      </c>
    </row>
    <row r="186" spans="1:13" ht="28.5">
      <c r="A186" s="193" t="str">
        <f t="shared" si="2"/>
        <v>DeclarationB40</v>
      </c>
      <c r="B186" s="193" t="s">
        <v>1855</v>
      </c>
      <c r="C186" s="193" t="s">
        <v>944</v>
      </c>
      <c r="D186" s="193" t="s">
        <v>2486</v>
      </c>
      <c r="E186" s="195" t="s">
        <v>2617</v>
      </c>
      <c r="F186" s="195" t="s">
        <v>2487</v>
      </c>
      <c r="G186" s="193" t="s">
        <v>2488</v>
      </c>
      <c r="H186" s="193" t="s">
        <v>2489</v>
      </c>
      <c r="I186" s="193" t="s">
        <v>347</v>
      </c>
      <c r="J186" s="193" t="s">
        <v>2486</v>
      </c>
      <c r="K186" s="196" t="s">
        <v>2490</v>
      </c>
      <c r="L186" s="259" t="s">
        <v>2490</v>
      </c>
      <c r="M186" s="193" t="s">
        <v>4435</v>
      </c>
    </row>
    <row r="187" spans="1:13" ht="28.5">
      <c r="A187" s="193" t="str">
        <f t="shared" si="2"/>
        <v>DeclarationB41</v>
      </c>
      <c r="B187" s="193" t="s">
        <v>1855</v>
      </c>
      <c r="C187" s="193" t="s">
        <v>945</v>
      </c>
      <c r="D187" s="193" t="s">
        <v>2491</v>
      </c>
      <c r="E187" s="195" t="s">
        <v>2616</v>
      </c>
      <c r="F187" s="195" t="s">
        <v>2492</v>
      </c>
      <c r="G187" s="193" t="s">
        <v>2493</v>
      </c>
      <c r="H187" s="193" t="s">
        <v>2494</v>
      </c>
      <c r="I187" s="193" t="s">
        <v>348</v>
      </c>
      <c r="J187" s="193" t="s">
        <v>2495</v>
      </c>
      <c r="K187" s="196" t="s">
        <v>2496</v>
      </c>
      <c r="L187" s="259" t="s">
        <v>2496</v>
      </c>
      <c r="M187" s="193" t="s">
        <v>4436</v>
      </c>
    </row>
    <row r="188" spans="1:13" ht="28.5">
      <c r="A188" s="193" t="str">
        <f t="shared" si="2"/>
        <v>DeclarationAth</v>
      </c>
      <c r="B188" s="193" t="s">
        <v>1855</v>
      </c>
      <c r="C188" s="193" t="s">
        <v>2497</v>
      </c>
      <c r="D188" s="193" t="s">
        <v>1469</v>
      </c>
      <c r="E188" s="195" t="s">
        <v>756</v>
      </c>
      <c r="F188" s="195" t="s">
        <v>2001</v>
      </c>
      <c r="G188" s="193" t="s">
        <v>1783</v>
      </c>
      <c r="H188" s="193" t="s">
        <v>1784</v>
      </c>
      <c r="I188" s="193" t="s">
        <v>1785</v>
      </c>
      <c r="J188" s="193" t="s">
        <v>2441</v>
      </c>
      <c r="K188" s="196" t="s">
        <v>1786</v>
      </c>
      <c r="L188" s="259" t="s">
        <v>863</v>
      </c>
      <c r="M188" s="193" t="s">
        <v>4437</v>
      </c>
    </row>
    <row r="189" spans="1:13">
      <c r="D189" s="193" t="s">
        <v>904</v>
      </c>
      <c r="E189" s="195" t="s">
        <v>757</v>
      </c>
      <c r="F189" s="195" t="s">
        <v>602</v>
      </c>
      <c r="G189" s="193" t="s">
        <v>996</v>
      </c>
      <c r="H189" s="193" t="s">
        <v>686</v>
      </c>
      <c r="I189" s="193" t="s">
        <v>349</v>
      </c>
      <c r="J189" s="193" t="s">
        <v>20</v>
      </c>
      <c r="K189" s="196" t="s">
        <v>397</v>
      </c>
      <c r="L189" s="259" t="s">
        <v>255</v>
      </c>
      <c r="M189" s="193" t="s">
        <v>4438</v>
      </c>
    </row>
    <row r="190" spans="1:13">
      <c r="D190" s="193" t="s">
        <v>905</v>
      </c>
      <c r="E190" s="195" t="s">
        <v>758</v>
      </c>
      <c r="F190" s="195" t="s">
        <v>603</v>
      </c>
      <c r="G190" s="193" t="s">
        <v>997</v>
      </c>
      <c r="H190" s="193" t="s">
        <v>905</v>
      </c>
      <c r="I190" s="193" t="s">
        <v>350</v>
      </c>
      <c r="J190" s="193" t="s">
        <v>21</v>
      </c>
      <c r="K190" s="196" t="s">
        <v>905</v>
      </c>
      <c r="L190" s="259" t="s">
        <v>256</v>
      </c>
      <c r="M190" s="193" t="s">
        <v>4439</v>
      </c>
    </row>
    <row r="191" spans="1:13">
      <c r="D191" s="193" t="s">
        <v>906</v>
      </c>
      <c r="E191" s="195" t="s">
        <v>759</v>
      </c>
      <c r="F191" s="195" t="s">
        <v>604</v>
      </c>
      <c r="G191" s="193" t="s">
        <v>998</v>
      </c>
      <c r="H191" s="193" t="s">
        <v>687</v>
      </c>
      <c r="I191" s="193" t="s">
        <v>351</v>
      </c>
      <c r="J191" s="193" t="s">
        <v>22</v>
      </c>
      <c r="K191" s="196" t="s">
        <v>398</v>
      </c>
      <c r="L191" s="259" t="s">
        <v>257</v>
      </c>
      <c r="M191" s="193" t="s">
        <v>4440</v>
      </c>
    </row>
    <row r="192" spans="1:13">
      <c r="D192" s="193" t="s">
        <v>907</v>
      </c>
      <c r="E192" s="195" t="s">
        <v>760</v>
      </c>
      <c r="F192" s="195" t="s">
        <v>605</v>
      </c>
      <c r="G192" s="193" t="s">
        <v>999</v>
      </c>
      <c r="H192" s="193" t="s">
        <v>688</v>
      </c>
      <c r="I192" s="193" t="s">
        <v>352</v>
      </c>
      <c r="J192" s="193" t="s">
        <v>23</v>
      </c>
      <c r="K192" s="196" t="s">
        <v>399</v>
      </c>
      <c r="L192" s="259" t="s">
        <v>258</v>
      </c>
      <c r="M192" s="193" t="s">
        <v>4441</v>
      </c>
    </row>
    <row r="193" spans="1:13">
      <c r="D193" s="193" t="s">
        <v>4936</v>
      </c>
      <c r="E193" s="195" t="s">
        <v>4937</v>
      </c>
      <c r="F193" s="195" t="s">
        <v>606</v>
      </c>
      <c r="G193" s="193" t="s">
        <v>1000</v>
      </c>
      <c r="H193" s="193" t="s">
        <v>689</v>
      </c>
      <c r="I193" s="193" t="s">
        <v>353</v>
      </c>
      <c r="J193" s="193" t="s">
        <v>24</v>
      </c>
      <c r="K193" s="196" t="s">
        <v>400</v>
      </c>
      <c r="L193" s="259" t="s">
        <v>259</v>
      </c>
      <c r="M193" s="193" t="s">
        <v>4442</v>
      </c>
    </row>
    <row r="194" spans="1:13">
      <c r="D194" s="193" t="s">
        <v>909</v>
      </c>
      <c r="E194" s="195" t="s">
        <v>761</v>
      </c>
      <c r="F194" s="195" t="s">
        <v>607</v>
      </c>
      <c r="G194" s="193" t="s">
        <v>1001</v>
      </c>
      <c r="H194" s="193" t="s">
        <v>690</v>
      </c>
      <c r="I194" s="193" t="s">
        <v>354</v>
      </c>
      <c r="J194" s="193" t="s">
        <v>25</v>
      </c>
      <c r="K194" s="196" t="s">
        <v>401</v>
      </c>
      <c r="L194" s="259" t="s">
        <v>260</v>
      </c>
      <c r="M194" s="193" t="s">
        <v>4443</v>
      </c>
    </row>
    <row r="195" spans="1:13">
      <c r="D195" s="193" t="s">
        <v>910</v>
      </c>
      <c r="E195" s="195" t="s">
        <v>762</v>
      </c>
      <c r="F195" s="195" t="s">
        <v>608</v>
      </c>
      <c r="G195" s="193" t="s">
        <v>1002</v>
      </c>
      <c r="H195" s="193" t="s">
        <v>691</v>
      </c>
      <c r="I195" s="193" t="s">
        <v>355</v>
      </c>
      <c r="J195" s="193" t="s">
        <v>26</v>
      </c>
      <c r="K195" s="196" t="s">
        <v>402</v>
      </c>
      <c r="L195" s="259" t="s">
        <v>261</v>
      </c>
      <c r="M195" s="193" t="s">
        <v>4444</v>
      </c>
    </row>
    <row r="196" spans="1:13">
      <c r="D196" s="193" t="s">
        <v>912</v>
      </c>
      <c r="E196" s="195" t="s">
        <v>763</v>
      </c>
      <c r="F196" s="195" t="s">
        <v>609</v>
      </c>
      <c r="G196" s="193" t="s">
        <v>1003</v>
      </c>
      <c r="H196" s="193" t="s">
        <v>692</v>
      </c>
      <c r="I196" s="193" t="s">
        <v>356</v>
      </c>
      <c r="J196" s="193" t="s">
        <v>27</v>
      </c>
      <c r="K196" s="196" t="s">
        <v>403</v>
      </c>
      <c r="L196" s="259" t="s">
        <v>262</v>
      </c>
      <c r="M196" s="193" t="s">
        <v>4445</v>
      </c>
    </row>
    <row r="197" spans="1:13">
      <c r="D197" s="193" t="s">
        <v>911</v>
      </c>
      <c r="E197" s="195" t="s">
        <v>764</v>
      </c>
      <c r="F197" s="195" t="s">
        <v>610</v>
      </c>
      <c r="G197" s="193" t="s">
        <v>1004</v>
      </c>
      <c r="H197" s="193" t="s">
        <v>693</v>
      </c>
      <c r="I197" s="193" t="s">
        <v>357</v>
      </c>
      <c r="J197" s="193" t="s">
        <v>28</v>
      </c>
      <c r="K197" s="196" t="s">
        <v>404</v>
      </c>
      <c r="L197" s="259" t="s">
        <v>263</v>
      </c>
      <c r="M197" s="193" t="s">
        <v>4446</v>
      </c>
    </row>
    <row r="198" spans="1:13" s="220" customFormat="1" ht="409.6" customHeight="1">
      <c r="A198" s="193" t="str">
        <f t="shared" ref="A198:A239" si="3">B198&amp;C198</f>
        <v>Smelter Reference ListA1</v>
      </c>
      <c r="B198" s="193" t="s">
        <v>2779</v>
      </c>
      <c r="C198" s="193" t="s">
        <v>1185</v>
      </c>
      <c r="D198" s="194" t="s">
        <v>4891</v>
      </c>
      <c r="E198" s="304" t="s">
        <v>4942</v>
      </c>
      <c r="F198" s="245" t="s">
        <v>4949</v>
      </c>
      <c r="G198" s="245" t="s">
        <v>4952</v>
      </c>
      <c r="H198" s="245" t="s">
        <v>4959</v>
      </c>
      <c r="I198" s="245" t="s">
        <v>4962</v>
      </c>
      <c r="J198" s="245" t="s">
        <v>4969</v>
      </c>
      <c r="K198" s="245" t="s">
        <v>4972</v>
      </c>
      <c r="L198" s="245" t="s">
        <v>4979</v>
      </c>
      <c r="M198" s="246" t="s">
        <v>4982</v>
      </c>
    </row>
    <row r="199" spans="1:13" ht="42.75">
      <c r="A199" s="193" t="str">
        <f t="shared" si="3"/>
        <v>Smelter Reference ListA4</v>
      </c>
      <c r="B199" s="193" t="s">
        <v>2779</v>
      </c>
      <c r="C199" s="193" t="s">
        <v>1188</v>
      </c>
      <c r="D199" s="193" t="s">
        <v>1484</v>
      </c>
      <c r="E199" s="125"/>
      <c r="F199" s="195" t="s">
        <v>2006</v>
      </c>
      <c r="G199" s="193" t="s">
        <v>2007</v>
      </c>
      <c r="H199" s="193" t="s">
        <v>2498</v>
      </c>
      <c r="I199" s="193" t="s">
        <v>1484</v>
      </c>
      <c r="J199" s="259" t="s">
        <v>1799</v>
      </c>
      <c r="K199" s="196" t="s">
        <v>1484</v>
      </c>
      <c r="L199" s="259" t="s">
        <v>868</v>
      </c>
      <c r="M199" s="193" t="s">
        <v>4447</v>
      </c>
    </row>
    <row r="200" spans="1:13" ht="42.75">
      <c r="A200" s="193" t="str">
        <f t="shared" si="3"/>
        <v>Smelter Reference ListB4</v>
      </c>
      <c r="B200" s="193" t="s">
        <v>2779</v>
      </c>
      <c r="C200" s="193" t="s">
        <v>1814</v>
      </c>
      <c r="D200" s="193" t="s">
        <v>2779</v>
      </c>
      <c r="E200" s="305" t="s">
        <v>4939</v>
      </c>
      <c r="F200" s="195" t="s">
        <v>2780</v>
      </c>
      <c r="G200" s="193" t="s">
        <v>2781</v>
      </c>
      <c r="H200" s="193" t="s">
        <v>2782</v>
      </c>
      <c r="I200" s="193" t="s">
        <v>2783</v>
      </c>
      <c r="J200" s="259" t="s">
        <v>2784</v>
      </c>
      <c r="K200" s="196" t="s">
        <v>2785</v>
      </c>
      <c r="L200" s="259" t="s">
        <v>869</v>
      </c>
      <c r="M200" s="193" t="s">
        <v>4448</v>
      </c>
    </row>
    <row r="201" spans="1:13" ht="42.75">
      <c r="A201" s="193" t="str">
        <f t="shared" si="3"/>
        <v>Smelter Reference List</v>
      </c>
      <c r="B201" s="193" t="s">
        <v>2779</v>
      </c>
      <c r="D201" s="193" t="s">
        <v>1755</v>
      </c>
      <c r="E201" s="125"/>
      <c r="F201" s="195" t="s">
        <v>2352</v>
      </c>
      <c r="G201" s="193" t="s">
        <v>1119</v>
      </c>
      <c r="H201" s="193" t="s">
        <v>696</v>
      </c>
      <c r="I201" s="193" t="s">
        <v>361</v>
      </c>
      <c r="J201" s="259" t="s">
        <v>2349</v>
      </c>
      <c r="K201" s="196" t="s">
        <v>2013</v>
      </c>
      <c r="L201" s="259" t="s">
        <v>1167</v>
      </c>
      <c r="M201" s="193" t="s">
        <v>4449</v>
      </c>
    </row>
    <row r="202" spans="1:13" ht="42.75">
      <c r="A202" s="193" t="str">
        <f t="shared" si="3"/>
        <v>Smelter Reference ListC4</v>
      </c>
      <c r="B202" s="193" t="s">
        <v>2779</v>
      </c>
      <c r="C202" s="193" t="s">
        <v>1835</v>
      </c>
      <c r="D202" s="193" t="s">
        <v>1754</v>
      </c>
      <c r="E202" s="305" t="s">
        <v>4940</v>
      </c>
      <c r="F202" s="195" t="s">
        <v>2351</v>
      </c>
      <c r="G202" s="193" t="s">
        <v>1118</v>
      </c>
      <c r="H202" s="193" t="s">
        <v>695</v>
      </c>
      <c r="I202" s="193" t="s">
        <v>360</v>
      </c>
      <c r="J202" s="259" t="s">
        <v>2348</v>
      </c>
      <c r="K202" s="196" t="s">
        <v>407</v>
      </c>
      <c r="L202" s="259" t="s">
        <v>870</v>
      </c>
      <c r="M202" s="193" t="s">
        <v>4450</v>
      </c>
    </row>
    <row r="203" spans="1:13" ht="42.75">
      <c r="A203" s="193" t="str">
        <f t="shared" si="3"/>
        <v>Smelter Reference ListD4</v>
      </c>
      <c r="B203" s="193" t="s">
        <v>2779</v>
      </c>
      <c r="C203" s="193" t="s">
        <v>2500</v>
      </c>
      <c r="D203" s="193" t="s">
        <v>1753</v>
      </c>
      <c r="E203" s="125"/>
      <c r="F203" s="195" t="s">
        <v>1800</v>
      </c>
      <c r="G203" s="193" t="s">
        <v>1801</v>
      </c>
      <c r="H203" s="193" t="s">
        <v>697</v>
      </c>
      <c r="I203" s="193" t="s">
        <v>362</v>
      </c>
      <c r="J203" s="259" t="s">
        <v>2297</v>
      </c>
      <c r="K203" s="196" t="s">
        <v>408</v>
      </c>
      <c r="L203" s="259" t="s">
        <v>1166</v>
      </c>
      <c r="M203" s="193" t="s">
        <v>4451</v>
      </c>
    </row>
    <row r="204" spans="1:13" ht="42.75">
      <c r="A204" s="193" t="str">
        <f t="shared" si="3"/>
        <v>Smelter Reference List</v>
      </c>
      <c r="B204" s="193" t="s">
        <v>2779</v>
      </c>
      <c r="D204" s="193" t="s">
        <v>1210</v>
      </c>
      <c r="E204" s="306" t="s">
        <v>4941</v>
      </c>
      <c r="F204" s="195" t="s">
        <v>626</v>
      </c>
      <c r="G204" s="193" t="s">
        <v>1019</v>
      </c>
      <c r="H204" s="193" t="s">
        <v>183</v>
      </c>
      <c r="I204" s="193" t="s">
        <v>358</v>
      </c>
      <c r="J204" s="259" t="s">
        <v>2584</v>
      </c>
      <c r="K204" s="196" t="s">
        <v>405</v>
      </c>
      <c r="L204" s="259" t="s">
        <v>79</v>
      </c>
      <c r="M204" s="193" t="s">
        <v>4452</v>
      </c>
    </row>
    <row r="205" spans="1:13" ht="42.75">
      <c r="A205" s="193" t="str">
        <f t="shared" si="3"/>
        <v>Smelter Reference ListE4</v>
      </c>
      <c r="B205" s="193" t="s">
        <v>2779</v>
      </c>
      <c r="C205" s="193" t="s">
        <v>2501</v>
      </c>
      <c r="D205" s="193" t="s">
        <v>1211</v>
      </c>
      <c r="E205" s="195" t="s">
        <v>765</v>
      </c>
      <c r="F205" s="195" t="s">
        <v>627</v>
      </c>
      <c r="G205" s="193" t="s">
        <v>1020</v>
      </c>
      <c r="H205" s="193" t="s">
        <v>184</v>
      </c>
      <c r="I205" s="193" t="s">
        <v>359</v>
      </c>
      <c r="J205" s="259" t="s">
        <v>2585</v>
      </c>
      <c r="K205" s="196" t="s">
        <v>406</v>
      </c>
      <c r="L205" s="259" t="s">
        <v>80</v>
      </c>
      <c r="M205" s="193" t="s">
        <v>4453</v>
      </c>
    </row>
    <row r="206" spans="1:13" ht="42.75">
      <c r="A206" s="193" t="str">
        <f t="shared" si="3"/>
        <v>Smelter Reference ListF4</v>
      </c>
      <c r="B206" s="193" t="s">
        <v>2779</v>
      </c>
      <c r="C206" s="193" t="s">
        <v>2511</v>
      </c>
      <c r="D206" s="193" t="s">
        <v>882</v>
      </c>
      <c r="E206" s="195" t="s">
        <v>462</v>
      </c>
      <c r="F206" s="195" t="s">
        <v>621</v>
      </c>
      <c r="G206" s="193" t="s">
        <v>1015</v>
      </c>
      <c r="H206" s="193" t="s">
        <v>702</v>
      </c>
      <c r="I206" s="193" t="s">
        <v>377</v>
      </c>
      <c r="J206" s="259" t="s">
        <v>2588</v>
      </c>
      <c r="K206" s="196" t="s">
        <v>164</v>
      </c>
      <c r="L206" s="259" t="s">
        <v>94</v>
      </c>
      <c r="M206" s="193" t="s">
        <v>4454</v>
      </c>
    </row>
    <row r="207" spans="1:13" ht="42.75">
      <c r="A207" s="193" t="str">
        <f t="shared" si="3"/>
        <v>Smelter Reference ListG4</v>
      </c>
      <c r="B207" s="193" t="s">
        <v>2779</v>
      </c>
      <c r="C207" s="193" t="s">
        <v>2502</v>
      </c>
      <c r="D207" s="193" t="s">
        <v>885</v>
      </c>
      <c r="E207" s="195" t="s">
        <v>2298</v>
      </c>
      <c r="F207" s="195" t="s">
        <v>613</v>
      </c>
      <c r="G207" s="193" t="s">
        <v>1007</v>
      </c>
      <c r="H207" s="193" t="s">
        <v>2299</v>
      </c>
      <c r="I207" s="193" t="s">
        <v>366</v>
      </c>
      <c r="J207" s="259" t="s">
        <v>1915</v>
      </c>
      <c r="K207" s="196" t="s">
        <v>411</v>
      </c>
      <c r="L207" s="274" t="s">
        <v>266</v>
      </c>
      <c r="M207" s="193" t="s">
        <v>4455</v>
      </c>
    </row>
    <row r="208" spans="1:13" ht="42.75">
      <c r="A208" s="193" t="str">
        <f t="shared" si="3"/>
        <v>Smelter Reference ListH4</v>
      </c>
      <c r="B208" s="193" t="s">
        <v>2779</v>
      </c>
      <c r="C208" s="193" t="s">
        <v>2503</v>
      </c>
      <c r="D208" s="193" t="s">
        <v>886</v>
      </c>
      <c r="E208" s="195" t="s">
        <v>2300</v>
      </c>
      <c r="F208" s="195" t="s">
        <v>614</v>
      </c>
      <c r="G208" s="193" t="s">
        <v>1008</v>
      </c>
      <c r="H208" s="193" t="s">
        <v>2301</v>
      </c>
      <c r="I208" s="193" t="s">
        <v>367</v>
      </c>
      <c r="J208" s="259" t="s">
        <v>1916</v>
      </c>
      <c r="K208" s="196" t="s">
        <v>412</v>
      </c>
      <c r="L208" s="274" t="s">
        <v>267</v>
      </c>
      <c r="M208" s="193" t="s">
        <v>4456</v>
      </c>
    </row>
    <row r="209" spans="1:13" ht="42.75">
      <c r="A209" s="193" t="str">
        <f t="shared" si="3"/>
        <v>Smelter Reference ListI4</v>
      </c>
      <c r="B209" s="193" t="s">
        <v>2779</v>
      </c>
      <c r="C209" s="193" t="s">
        <v>2504</v>
      </c>
      <c r="D209" s="193" t="s">
        <v>1752</v>
      </c>
      <c r="E209" s="195" t="s">
        <v>2302</v>
      </c>
      <c r="F209" s="195" t="s">
        <v>2303</v>
      </c>
      <c r="G209" s="193" t="s">
        <v>2304</v>
      </c>
      <c r="H209" s="193" t="s">
        <v>2305</v>
      </c>
      <c r="I209" s="193" t="s">
        <v>368</v>
      </c>
      <c r="J209" s="259" t="s">
        <v>1917</v>
      </c>
      <c r="K209" s="196" t="s">
        <v>158</v>
      </c>
      <c r="L209" s="274" t="s">
        <v>1165</v>
      </c>
      <c r="M209" s="193" t="s">
        <v>4457</v>
      </c>
    </row>
    <row r="210" spans="1:13" ht="28.5">
      <c r="A210" s="193" t="s">
        <v>4698</v>
      </c>
      <c r="B210" s="193" t="s">
        <v>2430</v>
      </c>
      <c r="C210" s="193" t="s">
        <v>1188</v>
      </c>
      <c r="D210" s="193" t="s">
        <v>4815</v>
      </c>
      <c r="E210" s="193" t="s">
        <v>4820</v>
      </c>
      <c r="F210" s="195" t="s">
        <v>4826</v>
      </c>
      <c r="G210" s="193" t="s">
        <v>4832</v>
      </c>
      <c r="H210" s="193" t="s">
        <v>4838</v>
      </c>
      <c r="I210" s="193" t="s">
        <v>4844</v>
      </c>
      <c r="J210" s="259" t="s">
        <v>4850</v>
      </c>
      <c r="K210" s="196" t="s">
        <v>4856</v>
      </c>
      <c r="L210" s="274" t="s">
        <v>4862</v>
      </c>
      <c r="M210" s="193" t="s">
        <v>4868</v>
      </c>
    </row>
    <row r="211" spans="1:13" ht="28.5">
      <c r="A211" s="193" t="str">
        <f t="shared" si="3"/>
        <v>Smelter ListB4</v>
      </c>
      <c r="B211" s="193" t="s">
        <v>2430</v>
      </c>
      <c r="C211" s="193" t="s">
        <v>1814</v>
      </c>
      <c r="D211" s="193" t="s">
        <v>1474</v>
      </c>
      <c r="E211" s="195" t="s">
        <v>2740</v>
      </c>
      <c r="F211" s="195" t="s">
        <v>1506</v>
      </c>
      <c r="G211" s="193" t="s">
        <v>1992</v>
      </c>
      <c r="H211" s="193" t="s">
        <v>2499</v>
      </c>
      <c r="I211" s="193" t="s">
        <v>2295</v>
      </c>
      <c r="J211" s="259" t="s">
        <v>2294</v>
      </c>
      <c r="K211" s="196" t="s">
        <v>2295</v>
      </c>
      <c r="L211" s="259" t="s">
        <v>864</v>
      </c>
      <c r="M211" s="193" t="s">
        <v>4458</v>
      </c>
    </row>
    <row r="212" spans="1:13" ht="28.5">
      <c r="A212" s="193" t="str">
        <f t="shared" si="3"/>
        <v>Smelter ListC4</v>
      </c>
      <c r="B212" s="193" t="s">
        <v>2430</v>
      </c>
      <c r="C212" s="193" t="s">
        <v>1835</v>
      </c>
      <c r="D212" s="193" t="s">
        <v>2014</v>
      </c>
      <c r="E212" s="195" t="s">
        <v>2741</v>
      </c>
      <c r="F212" s="195" t="s">
        <v>2015</v>
      </c>
      <c r="G212" s="193" t="s">
        <v>2016</v>
      </c>
      <c r="H212" s="193" t="s">
        <v>2017</v>
      </c>
      <c r="I212" s="193" t="s">
        <v>363</v>
      </c>
      <c r="J212" s="259" t="s">
        <v>2018</v>
      </c>
      <c r="K212" s="196" t="s">
        <v>2019</v>
      </c>
      <c r="L212" s="259" t="s">
        <v>869</v>
      </c>
      <c r="M212" s="193" t="s">
        <v>4459</v>
      </c>
    </row>
    <row r="213" spans="1:13" ht="28.5">
      <c r="A213" s="193" t="str">
        <f t="shared" si="3"/>
        <v>Smelter ListD4</v>
      </c>
      <c r="B213" s="193" t="s">
        <v>2430</v>
      </c>
      <c r="C213" s="193" t="s">
        <v>2500</v>
      </c>
      <c r="D213" s="193" t="s">
        <v>883</v>
      </c>
      <c r="E213" s="195" t="s">
        <v>2742</v>
      </c>
      <c r="F213" s="195" t="s">
        <v>611</v>
      </c>
      <c r="G213" s="193" t="s">
        <v>1005</v>
      </c>
      <c r="H213" s="193" t="s">
        <v>698</v>
      </c>
      <c r="I213" s="193" t="s">
        <v>364</v>
      </c>
      <c r="J213" s="259" t="s">
        <v>1913</v>
      </c>
      <c r="K213" s="196" t="s">
        <v>409</v>
      </c>
      <c r="L213" s="259" t="s">
        <v>264</v>
      </c>
      <c r="M213" s="193" t="s">
        <v>4460</v>
      </c>
    </row>
    <row r="214" spans="1:13" ht="17.25">
      <c r="A214" s="193" t="str">
        <f t="shared" si="3"/>
        <v>Smelter ListE4</v>
      </c>
      <c r="B214" s="193" t="s">
        <v>2430</v>
      </c>
      <c r="C214" s="193" t="s">
        <v>2501</v>
      </c>
      <c r="D214" s="193" t="s">
        <v>884</v>
      </c>
      <c r="E214" s="195" t="s">
        <v>2743</v>
      </c>
      <c r="F214" s="195" t="s">
        <v>612</v>
      </c>
      <c r="G214" s="193" t="s">
        <v>1006</v>
      </c>
      <c r="H214" s="193" t="s">
        <v>2296</v>
      </c>
      <c r="I214" s="193" t="s">
        <v>365</v>
      </c>
      <c r="J214" s="259" t="s">
        <v>1914</v>
      </c>
      <c r="K214" s="196" t="s">
        <v>410</v>
      </c>
      <c r="L214" s="259" t="s">
        <v>265</v>
      </c>
      <c r="M214" s="193" t="s">
        <v>4461</v>
      </c>
    </row>
    <row r="215" spans="1:13" ht="28.5">
      <c r="A215" s="193" t="str">
        <f t="shared" si="3"/>
        <v>Smelter ListH4</v>
      </c>
      <c r="B215" s="193" t="s">
        <v>2430</v>
      </c>
      <c r="C215" s="193" t="s">
        <v>2503</v>
      </c>
      <c r="D215" s="193" t="s">
        <v>885</v>
      </c>
      <c r="E215" s="195" t="s">
        <v>2298</v>
      </c>
      <c r="F215" s="195" t="s">
        <v>613</v>
      </c>
      <c r="G215" s="193" t="s">
        <v>1007</v>
      </c>
      <c r="H215" s="193" t="s">
        <v>2299</v>
      </c>
      <c r="I215" s="193" t="s">
        <v>366</v>
      </c>
      <c r="J215" s="259" t="s">
        <v>1915</v>
      </c>
      <c r="K215" s="196" t="s">
        <v>411</v>
      </c>
      <c r="L215" s="274" t="s">
        <v>266</v>
      </c>
      <c r="M215" s="193" t="s">
        <v>4455</v>
      </c>
    </row>
    <row r="216" spans="1:13">
      <c r="A216" s="193" t="str">
        <f t="shared" si="3"/>
        <v>Smelter ListI4</v>
      </c>
      <c r="B216" s="193" t="s">
        <v>2430</v>
      </c>
      <c r="C216" s="193" t="s">
        <v>2504</v>
      </c>
      <c r="D216" s="193" t="s">
        <v>886</v>
      </c>
      <c r="E216" s="195" t="s">
        <v>2300</v>
      </c>
      <c r="F216" s="195" t="s">
        <v>614</v>
      </c>
      <c r="G216" s="193" t="s">
        <v>1008</v>
      </c>
      <c r="H216" s="193" t="s">
        <v>2301</v>
      </c>
      <c r="I216" s="193" t="s">
        <v>367</v>
      </c>
      <c r="J216" s="259" t="s">
        <v>1916</v>
      </c>
      <c r="K216" s="196" t="s">
        <v>412</v>
      </c>
      <c r="L216" s="274" t="s">
        <v>267</v>
      </c>
      <c r="M216" s="193" t="s">
        <v>4456</v>
      </c>
    </row>
    <row r="217" spans="1:13" ht="28.5">
      <c r="A217" s="193" t="str">
        <f t="shared" si="3"/>
        <v>Smelter ListJ4</v>
      </c>
      <c r="B217" s="193" t="s">
        <v>2430</v>
      </c>
      <c r="C217" s="193" t="s">
        <v>2505</v>
      </c>
      <c r="D217" s="193" t="s">
        <v>1752</v>
      </c>
      <c r="E217" s="195" t="s">
        <v>2302</v>
      </c>
      <c r="F217" s="195" t="s">
        <v>2303</v>
      </c>
      <c r="G217" s="193" t="s">
        <v>2304</v>
      </c>
      <c r="H217" s="193" t="s">
        <v>2305</v>
      </c>
      <c r="I217" s="193" t="s">
        <v>368</v>
      </c>
      <c r="J217" s="259" t="s">
        <v>1917</v>
      </c>
      <c r="K217" s="196" t="s">
        <v>158</v>
      </c>
      <c r="L217" s="274" t="s">
        <v>1165</v>
      </c>
      <c r="M217" s="193" t="s">
        <v>4457</v>
      </c>
    </row>
    <row r="218" spans="1:13" ht="28.5">
      <c r="A218" s="193" t="str">
        <f t="shared" si="3"/>
        <v>Smelter ListK4</v>
      </c>
      <c r="B218" s="193" t="s">
        <v>2430</v>
      </c>
      <c r="C218" s="193" t="s">
        <v>2506</v>
      </c>
      <c r="D218" s="193" t="s">
        <v>887</v>
      </c>
      <c r="E218" s="195" t="s">
        <v>766</v>
      </c>
      <c r="F218" s="195" t="s">
        <v>615</v>
      </c>
      <c r="G218" s="193" t="s">
        <v>1009</v>
      </c>
      <c r="H218" s="193" t="s">
        <v>2306</v>
      </c>
      <c r="I218" s="193" t="s">
        <v>369</v>
      </c>
      <c r="J218" s="259" t="s">
        <v>1918</v>
      </c>
      <c r="K218" s="196" t="s">
        <v>2307</v>
      </c>
      <c r="L218" s="274" t="s">
        <v>865</v>
      </c>
      <c r="M218" s="193" t="s">
        <v>4462</v>
      </c>
    </row>
    <row r="219" spans="1:13" ht="28.5">
      <c r="A219" s="193" t="str">
        <f t="shared" si="3"/>
        <v>Smelter ListL4</v>
      </c>
      <c r="B219" s="193" t="s">
        <v>2430</v>
      </c>
      <c r="C219" s="193" t="s">
        <v>2507</v>
      </c>
      <c r="D219" s="193" t="s">
        <v>888</v>
      </c>
      <c r="E219" s="195" t="s">
        <v>767</v>
      </c>
      <c r="F219" s="195" t="s">
        <v>616</v>
      </c>
      <c r="G219" s="193" t="s">
        <v>1010</v>
      </c>
      <c r="H219" s="193" t="s">
        <v>2308</v>
      </c>
      <c r="I219" s="193" t="s">
        <v>370</v>
      </c>
      <c r="J219" s="259" t="s">
        <v>29</v>
      </c>
      <c r="K219" s="196" t="s">
        <v>2309</v>
      </c>
      <c r="L219" s="259" t="s">
        <v>866</v>
      </c>
      <c r="M219" s="193" t="s">
        <v>4463</v>
      </c>
    </row>
    <row r="220" spans="1:13" ht="28.5">
      <c r="A220" s="193" t="str">
        <f t="shared" si="3"/>
        <v>Smelter ListM4</v>
      </c>
      <c r="B220" s="193" t="s">
        <v>2430</v>
      </c>
      <c r="C220" s="193" t="s">
        <v>2508</v>
      </c>
      <c r="D220" s="193" t="s">
        <v>889</v>
      </c>
      <c r="E220" s="195" t="s">
        <v>768</v>
      </c>
      <c r="F220" s="195" t="s">
        <v>617</v>
      </c>
      <c r="G220" s="193" t="s">
        <v>1011</v>
      </c>
      <c r="H220" s="193" t="s">
        <v>2310</v>
      </c>
      <c r="I220" s="193" t="s">
        <v>371</v>
      </c>
      <c r="J220" s="259" t="s">
        <v>30</v>
      </c>
      <c r="K220" s="196" t="s">
        <v>159</v>
      </c>
      <c r="L220" s="259" t="s">
        <v>268</v>
      </c>
      <c r="M220" s="193" t="s">
        <v>4464</v>
      </c>
    </row>
    <row r="221" spans="1:13" ht="57">
      <c r="A221" s="193" t="str">
        <f t="shared" si="3"/>
        <v>Smelter ListN4</v>
      </c>
      <c r="B221" s="193" t="s">
        <v>2430</v>
      </c>
      <c r="C221" s="193" t="s">
        <v>2509</v>
      </c>
      <c r="D221" s="193" t="s">
        <v>924</v>
      </c>
      <c r="E221" s="195" t="s">
        <v>769</v>
      </c>
      <c r="F221" s="195" t="s">
        <v>618</v>
      </c>
      <c r="G221" s="193" t="s">
        <v>1012</v>
      </c>
      <c r="H221" s="195" t="s">
        <v>699</v>
      </c>
      <c r="I221" s="193" t="s">
        <v>372</v>
      </c>
      <c r="J221" s="259" t="s">
        <v>2586</v>
      </c>
      <c r="K221" s="196" t="s">
        <v>160</v>
      </c>
      <c r="L221" s="259" t="s">
        <v>269</v>
      </c>
      <c r="M221" s="193" t="s">
        <v>4465</v>
      </c>
    </row>
    <row r="222" spans="1:13" ht="71.25">
      <c r="A222" s="193" t="str">
        <f t="shared" si="3"/>
        <v>Smelter ListO4</v>
      </c>
      <c r="B222" s="193" t="s">
        <v>2430</v>
      </c>
      <c r="C222" s="193" t="s">
        <v>2510</v>
      </c>
      <c r="D222" s="193" t="s">
        <v>1856</v>
      </c>
      <c r="E222" s="195" t="s">
        <v>770</v>
      </c>
      <c r="F222" s="195" t="s">
        <v>619</v>
      </c>
      <c r="G222" s="193" t="s">
        <v>1013</v>
      </c>
      <c r="H222" s="193" t="s">
        <v>700</v>
      </c>
      <c r="I222" s="193" t="s">
        <v>373</v>
      </c>
      <c r="J222" s="259" t="s">
        <v>2609</v>
      </c>
      <c r="K222" s="196" t="s">
        <v>161</v>
      </c>
      <c r="L222" s="259" t="s">
        <v>270</v>
      </c>
      <c r="M222" s="193" t="s">
        <v>4466</v>
      </c>
    </row>
    <row r="223" spans="1:13" ht="71.25">
      <c r="A223" s="193" t="str">
        <f t="shared" si="3"/>
        <v>Smelter ListP4</v>
      </c>
      <c r="B223" s="193" t="s">
        <v>2430</v>
      </c>
      <c r="C223" s="193" t="s">
        <v>913</v>
      </c>
      <c r="D223" s="193" t="s">
        <v>923</v>
      </c>
      <c r="E223" s="195" t="s">
        <v>771</v>
      </c>
      <c r="F223" s="195" t="s">
        <v>620</v>
      </c>
      <c r="G223" s="193" t="s">
        <v>1014</v>
      </c>
      <c r="H223" s="266" t="s">
        <v>701</v>
      </c>
      <c r="I223" s="193" t="s">
        <v>374</v>
      </c>
      <c r="J223" s="259" t="s">
        <v>2587</v>
      </c>
      <c r="K223" s="196" t="s">
        <v>162</v>
      </c>
      <c r="L223" s="259" t="s">
        <v>271</v>
      </c>
      <c r="M223" s="193" t="s">
        <v>4467</v>
      </c>
    </row>
    <row r="224" spans="1:13" ht="28.5">
      <c r="A224" s="193" t="str">
        <f t="shared" si="3"/>
        <v>Smelter ListQ4</v>
      </c>
      <c r="B224" s="193" t="s">
        <v>2430</v>
      </c>
      <c r="C224" s="193" t="s">
        <v>922</v>
      </c>
      <c r="D224" s="193" t="s">
        <v>1471</v>
      </c>
      <c r="E224" s="195" t="s">
        <v>471</v>
      </c>
      <c r="F224" s="195" t="s">
        <v>2000</v>
      </c>
      <c r="G224" s="193" t="s">
        <v>1779</v>
      </c>
      <c r="H224" s="193" t="s">
        <v>1780</v>
      </c>
      <c r="I224" s="193" t="s">
        <v>1781</v>
      </c>
      <c r="J224" s="259" t="s">
        <v>1912</v>
      </c>
      <c r="K224" s="196" t="s">
        <v>1782</v>
      </c>
      <c r="L224" s="259" t="s">
        <v>862</v>
      </c>
      <c r="M224" s="193" t="s">
        <v>4432</v>
      </c>
    </row>
    <row r="225" spans="1:13" ht="42.75">
      <c r="A225" s="193" t="str">
        <f t="shared" si="3"/>
        <v>Smelter ListJ2</v>
      </c>
      <c r="B225" s="193" t="s">
        <v>2430</v>
      </c>
      <c r="C225" s="193" t="s">
        <v>1453</v>
      </c>
      <c r="D225" s="193" t="s">
        <v>178</v>
      </c>
      <c r="E225" s="195" t="s">
        <v>772</v>
      </c>
      <c r="F225" s="195" t="s">
        <v>2311</v>
      </c>
      <c r="G225" s="193" t="s">
        <v>474</v>
      </c>
      <c r="H225" s="193" t="s">
        <v>179</v>
      </c>
      <c r="I225" s="193" t="s">
        <v>375</v>
      </c>
      <c r="J225" s="259" t="s">
        <v>1919</v>
      </c>
      <c r="K225" s="196" t="s">
        <v>180</v>
      </c>
      <c r="L225" s="259" t="s">
        <v>867</v>
      </c>
      <c r="M225" s="193" t="s">
        <v>4468</v>
      </c>
    </row>
    <row r="226" spans="1:13" s="220" customFormat="1" ht="28.5">
      <c r="A226" s="193" t="str">
        <f t="shared" si="3"/>
        <v>Smelter ListB2</v>
      </c>
      <c r="B226" s="193" t="s">
        <v>2430</v>
      </c>
      <c r="C226" s="193" t="s">
        <v>1862</v>
      </c>
      <c r="D226" s="275" t="s">
        <v>4812</v>
      </c>
      <c r="E226" s="193" t="s">
        <v>4821</v>
      </c>
      <c r="F226" s="193" t="s">
        <v>4827</v>
      </c>
      <c r="G226" s="193" t="s">
        <v>4833</v>
      </c>
      <c r="H226" s="193" t="s">
        <v>4839</v>
      </c>
      <c r="I226" s="193" t="s">
        <v>4845</v>
      </c>
      <c r="J226" s="193" t="s">
        <v>4851</v>
      </c>
      <c r="K226" s="193" t="s">
        <v>4857</v>
      </c>
      <c r="L226" s="193" t="s">
        <v>4863</v>
      </c>
      <c r="M226" s="247" t="s">
        <v>4869</v>
      </c>
    </row>
    <row r="227" spans="1:13" s="220" customFormat="1" ht="409.5">
      <c r="A227" s="193" t="str">
        <f>B227&amp;C227</f>
        <v>Smelter ListB3</v>
      </c>
      <c r="B227" s="193" t="s">
        <v>2430</v>
      </c>
      <c r="C227" s="193" t="s">
        <v>1813</v>
      </c>
      <c r="D227" s="275" t="s">
        <v>4814</v>
      </c>
      <c r="E227" s="193" t="s">
        <v>4822</v>
      </c>
      <c r="F227" s="193" t="s">
        <v>4828</v>
      </c>
      <c r="G227" s="193" t="s">
        <v>4834</v>
      </c>
      <c r="H227" s="193" t="s">
        <v>4840</v>
      </c>
      <c r="I227" s="193" t="s">
        <v>4846</v>
      </c>
      <c r="J227" s="193" t="s">
        <v>4852</v>
      </c>
      <c r="K227" s="193" t="s">
        <v>4858</v>
      </c>
      <c r="L227" s="193" t="s">
        <v>4864</v>
      </c>
      <c r="M227" s="247" t="s">
        <v>4870</v>
      </c>
    </row>
    <row r="228" spans="1:13">
      <c r="A228" s="193" t="str">
        <f t="shared" si="3"/>
        <v>Smelter ListF4</v>
      </c>
      <c r="B228" s="193" t="s">
        <v>2430</v>
      </c>
      <c r="C228" s="193" t="s">
        <v>2511</v>
      </c>
      <c r="D228" s="193" t="s">
        <v>881</v>
      </c>
      <c r="E228" s="195" t="s">
        <v>461</v>
      </c>
      <c r="F228" s="195" t="s">
        <v>2350</v>
      </c>
      <c r="G228" s="193" t="s">
        <v>1117</v>
      </c>
      <c r="H228" s="193" t="s">
        <v>694</v>
      </c>
      <c r="I228" s="193" t="s">
        <v>376</v>
      </c>
      <c r="J228" s="259" t="s">
        <v>2347</v>
      </c>
      <c r="K228" s="196" t="s">
        <v>163</v>
      </c>
      <c r="L228" s="259" t="s">
        <v>93</v>
      </c>
      <c r="M228" s="193" t="s">
        <v>4469</v>
      </c>
    </row>
    <row r="229" spans="1:13" ht="28.5">
      <c r="A229" s="193" t="str">
        <f t="shared" si="3"/>
        <v>Smelter ListG4</v>
      </c>
      <c r="B229" s="193" t="s">
        <v>2430</v>
      </c>
      <c r="C229" s="193" t="s">
        <v>2502</v>
      </c>
      <c r="D229" s="193" t="s">
        <v>882</v>
      </c>
      <c r="E229" s="195" t="s">
        <v>462</v>
      </c>
      <c r="F229" s="195" t="s">
        <v>621</v>
      </c>
      <c r="G229" s="193" t="s">
        <v>1015</v>
      </c>
      <c r="H229" s="193" t="s">
        <v>702</v>
      </c>
      <c r="I229" s="193" t="s">
        <v>377</v>
      </c>
      <c r="J229" s="259" t="s">
        <v>2588</v>
      </c>
      <c r="K229" s="196" t="s">
        <v>164</v>
      </c>
      <c r="L229" s="259" t="s">
        <v>94</v>
      </c>
      <c r="M229" s="193" t="s">
        <v>4454</v>
      </c>
    </row>
    <row r="230" spans="1:13" ht="71.25">
      <c r="A230" s="193" t="str">
        <f t="shared" si="3"/>
        <v>CheckerA1</v>
      </c>
      <c r="B230" s="193" t="s">
        <v>2431</v>
      </c>
      <c r="C230" s="193" t="s">
        <v>1185</v>
      </c>
      <c r="D230" s="193" t="s">
        <v>1749</v>
      </c>
      <c r="E230" s="195" t="s">
        <v>463</v>
      </c>
      <c r="F230" s="195" t="s">
        <v>622</v>
      </c>
      <c r="G230" s="193" t="s">
        <v>2312</v>
      </c>
      <c r="H230" s="193" t="s">
        <v>703</v>
      </c>
      <c r="I230" s="193" t="s">
        <v>378</v>
      </c>
      <c r="J230" s="259" t="s">
        <v>2610</v>
      </c>
      <c r="K230" s="196" t="s">
        <v>2313</v>
      </c>
      <c r="L230" s="259" t="s">
        <v>2533</v>
      </c>
      <c r="M230" s="193" t="s">
        <v>4470</v>
      </c>
    </row>
    <row r="231" spans="1:13" ht="28.5">
      <c r="A231" s="193" t="str">
        <f t="shared" si="3"/>
        <v>CheckerD1</v>
      </c>
      <c r="B231" s="193" t="s">
        <v>2431</v>
      </c>
      <c r="C231" s="193" t="s">
        <v>2512</v>
      </c>
      <c r="D231" s="193" t="s">
        <v>1751</v>
      </c>
      <c r="E231" s="195" t="s">
        <v>464</v>
      </c>
      <c r="F231" s="195" t="s">
        <v>2314</v>
      </c>
      <c r="G231" s="193" t="s">
        <v>2315</v>
      </c>
      <c r="H231" s="193" t="s">
        <v>2316</v>
      </c>
      <c r="I231" s="193" t="s">
        <v>379</v>
      </c>
      <c r="J231" s="266" t="s">
        <v>2611</v>
      </c>
      <c r="K231" s="196" t="s">
        <v>2317</v>
      </c>
      <c r="L231" s="276" t="s">
        <v>2534</v>
      </c>
      <c r="M231" s="193" t="s">
        <v>4471</v>
      </c>
    </row>
    <row r="232" spans="1:13">
      <c r="A232" s="193" t="str">
        <f t="shared" si="3"/>
        <v>CheckerA3</v>
      </c>
      <c r="B232" s="193" t="s">
        <v>2431</v>
      </c>
      <c r="C232" s="193" t="s">
        <v>1187</v>
      </c>
      <c r="D232" s="193" t="s">
        <v>1526</v>
      </c>
      <c r="E232" s="195" t="s">
        <v>465</v>
      </c>
      <c r="F232" s="195" t="s">
        <v>2318</v>
      </c>
      <c r="G232" s="193" t="s">
        <v>2319</v>
      </c>
      <c r="H232" s="193" t="s">
        <v>2320</v>
      </c>
      <c r="I232" s="193" t="s">
        <v>2321</v>
      </c>
      <c r="J232" s="266" t="s">
        <v>2322</v>
      </c>
      <c r="K232" s="196" t="s">
        <v>2323</v>
      </c>
      <c r="L232" s="276" t="s">
        <v>2535</v>
      </c>
      <c r="M232" s="193" t="s">
        <v>4472</v>
      </c>
    </row>
    <row r="233" spans="1:13">
      <c r="A233" s="193" t="str">
        <f t="shared" si="3"/>
        <v>CheckerB3</v>
      </c>
      <c r="B233" s="193" t="s">
        <v>2431</v>
      </c>
      <c r="C233" s="193" t="s">
        <v>1813</v>
      </c>
      <c r="D233" s="193" t="s">
        <v>1527</v>
      </c>
      <c r="E233" s="195" t="s">
        <v>466</v>
      </c>
      <c r="F233" s="195" t="s">
        <v>1504</v>
      </c>
      <c r="G233" s="193" t="s">
        <v>2324</v>
      </c>
      <c r="H233" s="193" t="s">
        <v>2325</v>
      </c>
      <c r="I233" s="193" t="s">
        <v>2326</v>
      </c>
      <c r="J233" s="266" t="s">
        <v>2327</v>
      </c>
      <c r="K233" s="196" t="s">
        <v>2328</v>
      </c>
      <c r="L233" s="276" t="s">
        <v>2536</v>
      </c>
      <c r="M233" s="193" t="s">
        <v>4473</v>
      </c>
    </row>
    <row r="234" spans="1:13">
      <c r="A234" s="193" t="str">
        <f t="shared" si="3"/>
        <v>CheckerC3</v>
      </c>
      <c r="B234" s="193" t="s">
        <v>2431</v>
      </c>
      <c r="C234" s="193" t="s">
        <v>1834</v>
      </c>
      <c r="D234" s="193" t="s">
        <v>1747</v>
      </c>
      <c r="E234" s="195" t="s">
        <v>467</v>
      </c>
      <c r="F234" s="195" t="s">
        <v>2329</v>
      </c>
      <c r="G234" s="193" t="s">
        <v>2330</v>
      </c>
      <c r="H234" s="193" t="s">
        <v>2331</v>
      </c>
      <c r="I234" s="193" t="s">
        <v>2332</v>
      </c>
      <c r="J234" s="266" t="s">
        <v>2333</v>
      </c>
      <c r="K234" s="196" t="s">
        <v>2332</v>
      </c>
      <c r="L234" s="276" t="s">
        <v>2537</v>
      </c>
      <c r="M234" s="193" t="s">
        <v>4474</v>
      </c>
    </row>
    <row r="235" spans="1:13">
      <c r="A235" s="193" t="str">
        <f t="shared" si="3"/>
        <v>CheckerD3</v>
      </c>
      <c r="B235" s="193" t="s">
        <v>2431</v>
      </c>
      <c r="C235" s="193" t="s">
        <v>2513</v>
      </c>
      <c r="D235" s="193" t="s">
        <v>1748</v>
      </c>
      <c r="E235" s="195" t="s">
        <v>468</v>
      </c>
      <c r="F235" s="195" t="s">
        <v>1431</v>
      </c>
      <c r="G235" s="193" t="s">
        <v>1432</v>
      </c>
      <c r="H235" s="193" t="s">
        <v>1433</v>
      </c>
      <c r="I235" s="193" t="s">
        <v>380</v>
      </c>
      <c r="J235" s="266" t="s">
        <v>1443</v>
      </c>
      <c r="K235" s="196" t="s">
        <v>1434</v>
      </c>
      <c r="L235" s="276" t="s">
        <v>1435</v>
      </c>
      <c r="M235" s="193" t="s">
        <v>4475</v>
      </c>
    </row>
    <row r="236" spans="1:13" s="220" customFormat="1" ht="32.25" customHeight="1">
      <c r="A236" s="193" t="s">
        <v>2859</v>
      </c>
      <c r="B236" s="193" t="s">
        <v>2431</v>
      </c>
      <c r="C236" s="193" t="s">
        <v>2858</v>
      </c>
      <c r="D236" s="193" t="s">
        <v>2860</v>
      </c>
      <c r="E236" s="193" t="s">
        <v>3995</v>
      </c>
      <c r="F236" s="193" t="s">
        <v>3996</v>
      </c>
      <c r="G236" s="193" t="s">
        <v>3997</v>
      </c>
      <c r="H236" s="193" t="s">
        <v>3998</v>
      </c>
      <c r="I236" s="193" t="s">
        <v>3999</v>
      </c>
      <c r="J236" s="193" t="s">
        <v>4000</v>
      </c>
      <c r="K236" s="193" t="s">
        <v>4001</v>
      </c>
      <c r="L236" s="193" t="s">
        <v>4002</v>
      </c>
      <c r="M236" s="193" t="s">
        <v>4476</v>
      </c>
    </row>
    <row r="237" spans="1:13" s="220" customFormat="1" ht="32.25" customHeight="1">
      <c r="A237" s="193" t="str">
        <f t="shared" si="3"/>
        <v>CheckerB63</v>
      </c>
      <c r="B237" s="193" t="s">
        <v>2431</v>
      </c>
      <c r="C237" s="193" t="s">
        <v>3527</v>
      </c>
      <c r="D237" s="193" t="s">
        <v>2860</v>
      </c>
      <c r="E237" s="193" t="s">
        <v>3995</v>
      </c>
      <c r="F237" s="193" t="s">
        <v>3996</v>
      </c>
      <c r="G237" s="193" t="s">
        <v>3997</v>
      </c>
      <c r="H237" s="193" t="s">
        <v>3998</v>
      </c>
      <c r="I237" s="193" t="s">
        <v>3999</v>
      </c>
      <c r="J237" s="193" t="s">
        <v>4000</v>
      </c>
      <c r="K237" s="193" t="s">
        <v>4001</v>
      </c>
      <c r="L237" s="193" t="s">
        <v>4002</v>
      </c>
      <c r="M237" s="193" t="s">
        <v>4476</v>
      </c>
    </row>
    <row r="238" spans="1:13" s="220" customFormat="1" ht="32.25" customHeight="1">
      <c r="A238" s="193" t="str">
        <f t="shared" si="3"/>
        <v>CheckerB64</v>
      </c>
      <c r="B238" s="193" t="s">
        <v>2431</v>
      </c>
      <c r="C238" s="193" t="s">
        <v>3528</v>
      </c>
      <c r="D238" s="193" t="s">
        <v>2860</v>
      </c>
      <c r="E238" s="193" t="s">
        <v>3995</v>
      </c>
      <c r="F238" s="193" t="s">
        <v>3996</v>
      </c>
      <c r="G238" s="193" t="s">
        <v>3997</v>
      </c>
      <c r="H238" s="193" t="s">
        <v>3998</v>
      </c>
      <c r="I238" s="193" t="s">
        <v>3999</v>
      </c>
      <c r="J238" s="193" t="s">
        <v>4000</v>
      </c>
      <c r="K238" s="193" t="s">
        <v>4001</v>
      </c>
      <c r="L238" s="193" t="s">
        <v>4002</v>
      </c>
      <c r="M238" s="193" t="s">
        <v>4476</v>
      </c>
    </row>
    <row r="239" spans="1:13" s="220" customFormat="1" ht="32.25" customHeight="1">
      <c r="A239" s="193" t="str">
        <f t="shared" si="3"/>
        <v>CheckerB65</v>
      </c>
      <c r="B239" s="193" t="s">
        <v>2431</v>
      </c>
      <c r="C239" s="193" t="s">
        <v>3529</v>
      </c>
      <c r="D239" s="193" t="s">
        <v>2860</v>
      </c>
      <c r="E239" s="193" t="s">
        <v>3995</v>
      </c>
      <c r="F239" s="193" t="s">
        <v>3996</v>
      </c>
      <c r="G239" s="193" t="s">
        <v>3997</v>
      </c>
      <c r="H239" s="193" t="s">
        <v>3998</v>
      </c>
      <c r="I239" s="193" t="s">
        <v>3999</v>
      </c>
      <c r="J239" s="193" t="s">
        <v>4000</v>
      </c>
      <c r="K239" s="193" t="s">
        <v>4001</v>
      </c>
      <c r="L239" s="193" t="s">
        <v>4002</v>
      </c>
      <c r="M239" s="193" t="s">
        <v>4476</v>
      </c>
    </row>
    <row r="240" spans="1:13" s="220" customFormat="1" ht="32.25" customHeight="1">
      <c r="A240" s="193" t="s">
        <v>2880</v>
      </c>
      <c r="B240" s="193" t="s">
        <v>2431</v>
      </c>
      <c r="C240" s="193" t="s">
        <v>2879</v>
      </c>
      <c r="D240" s="193" t="s">
        <v>2881</v>
      </c>
      <c r="E240" s="193" t="s">
        <v>3568</v>
      </c>
      <c r="F240" s="193" t="s">
        <v>3569</v>
      </c>
      <c r="G240" s="193" t="s">
        <v>3570</v>
      </c>
      <c r="H240" s="193" t="s">
        <v>3571</v>
      </c>
      <c r="I240" s="193" t="s">
        <v>3572</v>
      </c>
      <c r="J240" s="193" t="s">
        <v>3573</v>
      </c>
      <c r="K240" s="193" t="s">
        <v>2881</v>
      </c>
      <c r="L240" s="193" t="s">
        <v>3574</v>
      </c>
      <c r="M240" s="247" t="s">
        <v>4930</v>
      </c>
    </row>
    <row r="241" spans="1:13" s="220" customFormat="1" ht="42.75">
      <c r="A241" s="193" t="s">
        <v>2861</v>
      </c>
      <c r="B241" s="193" t="s">
        <v>2431</v>
      </c>
      <c r="C241" s="193" t="s">
        <v>2505</v>
      </c>
      <c r="D241" s="193" t="s">
        <v>3034</v>
      </c>
      <c r="E241" s="193" t="s">
        <v>3575</v>
      </c>
      <c r="F241" s="193" t="s">
        <v>3576</v>
      </c>
      <c r="G241" s="193" t="s">
        <v>3577</v>
      </c>
      <c r="H241" s="193" t="s">
        <v>3578</v>
      </c>
      <c r="I241" s="193" t="s">
        <v>3579</v>
      </c>
      <c r="J241" s="193" t="s">
        <v>3580</v>
      </c>
      <c r="K241" s="193" t="s">
        <v>3581</v>
      </c>
      <c r="L241" s="193" t="s">
        <v>3582</v>
      </c>
      <c r="M241" s="193" t="s">
        <v>4477</v>
      </c>
    </row>
    <row r="242" spans="1:13" s="220" customFormat="1" ht="42.75">
      <c r="A242" s="193" t="s">
        <v>2882</v>
      </c>
      <c r="B242" s="193" t="s">
        <v>2431</v>
      </c>
      <c r="C242" s="193" t="s">
        <v>2862</v>
      </c>
      <c r="D242" s="193" t="s">
        <v>3033</v>
      </c>
      <c r="E242" s="193" t="s">
        <v>3583</v>
      </c>
      <c r="F242" s="193" t="s">
        <v>3584</v>
      </c>
      <c r="G242" s="193" t="s">
        <v>3585</v>
      </c>
      <c r="H242" s="193" t="s">
        <v>3586</v>
      </c>
      <c r="I242" s="193" t="s">
        <v>3587</v>
      </c>
      <c r="J242" s="193" t="s">
        <v>3588</v>
      </c>
      <c r="K242" s="193" t="s">
        <v>3589</v>
      </c>
      <c r="L242" s="193" t="s">
        <v>3590</v>
      </c>
      <c r="M242" s="193" t="s">
        <v>4478</v>
      </c>
    </row>
    <row r="243" spans="1:13" s="220" customFormat="1" ht="42.75">
      <c r="A243" s="193" t="s">
        <v>2968</v>
      </c>
      <c r="B243" s="193" t="s">
        <v>2431</v>
      </c>
      <c r="C243" s="193" t="s">
        <v>2863</v>
      </c>
      <c r="D243" s="193" t="s">
        <v>3039</v>
      </c>
      <c r="E243" s="193" t="s">
        <v>3591</v>
      </c>
      <c r="F243" s="193" t="s">
        <v>3592</v>
      </c>
      <c r="G243" s="193" t="s">
        <v>3593</v>
      </c>
      <c r="H243" s="193" t="s">
        <v>3594</v>
      </c>
      <c r="I243" s="193" t="s">
        <v>3595</v>
      </c>
      <c r="J243" s="193" t="s">
        <v>3596</v>
      </c>
      <c r="K243" s="193" t="s">
        <v>3597</v>
      </c>
      <c r="L243" s="193" t="s">
        <v>3598</v>
      </c>
      <c r="M243" s="193" t="s">
        <v>4479</v>
      </c>
    </row>
    <row r="244" spans="1:13" s="220" customFormat="1" ht="42.75">
      <c r="A244" s="193" t="s">
        <v>2969</v>
      </c>
      <c r="B244" s="193" t="s">
        <v>2431</v>
      </c>
      <c r="C244" s="193" t="s">
        <v>2864</v>
      </c>
      <c r="D244" s="193" t="s">
        <v>2943</v>
      </c>
      <c r="E244" s="193" t="s">
        <v>3599</v>
      </c>
      <c r="F244" s="193" t="s">
        <v>3600</v>
      </c>
      <c r="G244" s="193" t="s">
        <v>3601</v>
      </c>
      <c r="H244" s="193" t="s">
        <v>3602</v>
      </c>
      <c r="I244" s="193" t="s">
        <v>3603</v>
      </c>
      <c r="J244" s="193" t="s">
        <v>3604</v>
      </c>
      <c r="K244" s="193" t="s">
        <v>3605</v>
      </c>
      <c r="L244" s="193" t="s">
        <v>3606</v>
      </c>
      <c r="M244" s="193" t="s">
        <v>4480</v>
      </c>
    </row>
    <row r="245" spans="1:13" s="220" customFormat="1" ht="42.75">
      <c r="A245" s="193" t="s">
        <v>2984</v>
      </c>
      <c r="B245" s="193" t="s">
        <v>2431</v>
      </c>
      <c r="C245" s="193" t="s">
        <v>2865</v>
      </c>
      <c r="D245" s="193" t="s">
        <v>4917</v>
      </c>
      <c r="E245" s="193" t="s">
        <v>4943</v>
      </c>
      <c r="F245" s="193" t="s">
        <v>4948</v>
      </c>
      <c r="G245" s="193" t="s">
        <v>4953</v>
      </c>
      <c r="H245" s="193" t="s">
        <v>4958</v>
      </c>
      <c r="I245" s="193" t="s">
        <v>4963</v>
      </c>
      <c r="J245" s="193" t="s">
        <v>4968</v>
      </c>
      <c r="K245" s="193" t="s">
        <v>4973</v>
      </c>
      <c r="L245" s="193" t="s">
        <v>4978</v>
      </c>
      <c r="M245" s="247" t="s">
        <v>4983</v>
      </c>
    </row>
    <row r="246" spans="1:13" s="220" customFormat="1" ht="42.75">
      <c r="A246" s="193" t="s">
        <v>2985</v>
      </c>
      <c r="B246" s="193" t="s">
        <v>2431</v>
      </c>
      <c r="C246" s="193" t="s">
        <v>2866</v>
      </c>
      <c r="D246" s="193" t="s">
        <v>2944</v>
      </c>
      <c r="E246" s="193" t="s">
        <v>3607</v>
      </c>
      <c r="F246" s="193" t="s">
        <v>3608</v>
      </c>
      <c r="G246" s="193" t="s">
        <v>3609</v>
      </c>
      <c r="H246" s="193" t="s">
        <v>3610</v>
      </c>
      <c r="I246" s="193" t="s">
        <v>3611</v>
      </c>
      <c r="J246" s="193" t="s">
        <v>3612</v>
      </c>
      <c r="K246" s="193" t="s">
        <v>3613</v>
      </c>
      <c r="L246" s="193" t="s">
        <v>3614</v>
      </c>
      <c r="M246" s="193" t="s">
        <v>4481</v>
      </c>
    </row>
    <row r="247" spans="1:13" s="220" customFormat="1" ht="57">
      <c r="A247" s="193" t="s">
        <v>2986</v>
      </c>
      <c r="B247" s="193" t="s">
        <v>2431</v>
      </c>
      <c r="C247" s="193" t="s">
        <v>2867</v>
      </c>
      <c r="D247" s="193" t="s">
        <v>2945</v>
      </c>
      <c r="E247" s="193" t="s">
        <v>3615</v>
      </c>
      <c r="F247" s="193" t="s">
        <v>3616</v>
      </c>
      <c r="G247" s="193" t="s">
        <v>3617</v>
      </c>
      <c r="H247" s="193" t="s">
        <v>3618</v>
      </c>
      <c r="I247" s="193" t="s">
        <v>3619</v>
      </c>
      <c r="J247" s="193" t="s">
        <v>3620</v>
      </c>
      <c r="K247" s="193" t="s">
        <v>3621</v>
      </c>
      <c r="L247" s="193" t="s">
        <v>3622</v>
      </c>
      <c r="M247" s="193" t="s">
        <v>4482</v>
      </c>
    </row>
    <row r="248" spans="1:13" s="220" customFormat="1" ht="57">
      <c r="A248" s="193" t="s">
        <v>2987</v>
      </c>
      <c r="B248" s="193" t="s">
        <v>2431</v>
      </c>
      <c r="C248" s="193" t="s">
        <v>2868</v>
      </c>
      <c r="D248" s="193" t="s">
        <v>2946</v>
      </c>
      <c r="E248" s="193" t="s">
        <v>4944</v>
      </c>
      <c r="F248" s="193" t="s">
        <v>4947</v>
      </c>
      <c r="G248" s="193" t="s">
        <v>4954</v>
      </c>
      <c r="H248" s="193" t="s">
        <v>4957</v>
      </c>
      <c r="I248" s="193" t="s">
        <v>4964</v>
      </c>
      <c r="J248" s="193" t="s">
        <v>4967</v>
      </c>
      <c r="K248" s="193" t="s">
        <v>4974</v>
      </c>
      <c r="L248" s="193" t="s">
        <v>4977</v>
      </c>
      <c r="M248" s="247" t="s">
        <v>4984</v>
      </c>
    </row>
    <row r="249" spans="1:13" s="220" customFormat="1" ht="57">
      <c r="A249" s="193" t="s">
        <v>2988</v>
      </c>
      <c r="B249" s="193" t="s">
        <v>2431</v>
      </c>
      <c r="C249" s="193" t="s">
        <v>2869</v>
      </c>
      <c r="D249" s="193" t="s">
        <v>2947</v>
      </c>
      <c r="E249" s="193" t="s">
        <v>3623</v>
      </c>
      <c r="F249" s="193" t="s">
        <v>3624</v>
      </c>
      <c r="G249" s="193" t="s">
        <v>3625</v>
      </c>
      <c r="H249" s="193" t="s">
        <v>3626</v>
      </c>
      <c r="I249" s="193" t="s">
        <v>3627</v>
      </c>
      <c r="J249" s="193" t="s">
        <v>3628</v>
      </c>
      <c r="K249" s="193" t="s">
        <v>3629</v>
      </c>
      <c r="L249" s="193" t="s">
        <v>3630</v>
      </c>
      <c r="M249" s="193" t="s">
        <v>4483</v>
      </c>
    </row>
    <row r="250" spans="1:13" s="220" customFormat="1" ht="42.75">
      <c r="A250" s="193" t="s">
        <v>2989</v>
      </c>
      <c r="B250" s="193" t="s">
        <v>2431</v>
      </c>
      <c r="C250" s="193" t="s">
        <v>2870</v>
      </c>
      <c r="D250" s="193" t="s">
        <v>2910</v>
      </c>
      <c r="E250" s="193" t="s">
        <v>3631</v>
      </c>
      <c r="F250" s="193" t="s">
        <v>3632</v>
      </c>
      <c r="G250" s="193" t="s">
        <v>3633</v>
      </c>
      <c r="H250" s="193" t="s">
        <v>3634</v>
      </c>
      <c r="I250" s="193" t="s">
        <v>3635</v>
      </c>
      <c r="J250" s="193" t="s">
        <v>3636</v>
      </c>
      <c r="K250" s="193" t="s">
        <v>3637</v>
      </c>
      <c r="L250" s="193" t="s">
        <v>3638</v>
      </c>
      <c r="M250" s="193" t="s">
        <v>4484</v>
      </c>
    </row>
    <row r="251" spans="1:13" s="220" customFormat="1" ht="57">
      <c r="A251" s="193" t="s">
        <v>2990</v>
      </c>
      <c r="B251" s="193" t="s">
        <v>2431</v>
      </c>
      <c r="C251" s="193" t="s">
        <v>2871</v>
      </c>
      <c r="D251" s="193" t="s">
        <v>3035</v>
      </c>
      <c r="E251" s="193" t="s">
        <v>3639</v>
      </c>
      <c r="F251" s="193" t="s">
        <v>3640</v>
      </c>
      <c r="G251" s="193" t="s">
        <v>3641</v>
      </c>
      <c r="H251" s="193" t="s">
        <v>3642</v>
      </c>
      <c r="I251" s="193" t="s">
        <v>3643</v>
      </c>
      <c r="J251" s="193" t="s">
        <v>3644</v>
      </c>
      <c r="K251" s="193" t="s">
        <v>3645</v>
      </c>
      <c r="L251" s="193" t="s">
        <v>3646</v>
      </c>
      <c r="M251" s="193" t="s">
        <v>4485</v>
      </c>
    </row>
    <row r="252" spans="1:13" s="220" customFormat="1" ht="57">
      <c r="A252" s="193" t="s">
        <v>2991</v>
      </c>
      <c r="B252" s="193" t="s">
        <v>2431</v>
      </c>
      <c r="C252" s="193" t="s">
        <v>2872</v>
      </c>
      <c r="D252" s="193" t="s">
        <v>3036</v>
      </c>
      <c r="E252" s="193" t="s">
        <v>3647</v>
      </c>
      <c r="F252" s="193" t="s">
        <v>3648</v>
      </c>
      <c r="G252" s="193" t="s">
        <v>3649</v>
      </c>
      <c r="H252" s="193" t="s">
        <v>3650</v>
      </c>
      <c r="I252" s="193" t="s">
        <v>3651</v>
      </c>
      <c r="J252" s="193" t="s">
        <v>3652</v>
      </c>
      <c r="K252" s="193" t="s">
        <v>3653</v>
      </c>
      <c r="L252" s="193" t="s">
        <v>3654</v>
      </c>
      <c r="M252" s="193" t="s">
        <v>4486</v>
      </c>
    </row>
    <row r="253" spans="1:13" s="220" customFormat="1" ht="57">
      <c r="A253" s="193" t="s">
        <v>2992</v>
      </c>
      <c r="B253" s="193" t="s">
        <v>2431</v>
      </c>
      <c r="C253" s="193" t="s">
        <v>2873</v>
      </c>
      <c r="D253" s="193" t="s">
        <v>3037</v>
      </c>
      <c r="E253" s="193" t="s">
        <v>3655</v>
      </c>
      <c r="F253" s="193" t="s">
        <v>3656</v>
      </c>
      <c r="G253" s="193" t="s">
        <v>3657</v>
      </c>
      <c r="H253" s="193" t="s">
        <v>3658</v>
      </c>
      <c r="I253" s="193" t="s">
        <v>3659</v>
      </c>
      <c r="J253" s="193" t="s">
        <v>3660</v>
      </c>
      <c r="K253" s="193" t="s">
        <v>3661</v>
      </c>
      <c r="L253" s="193" t="s">
        <v>3662</v>
      </c>
      <c r="M253" s="193" t="s">
        <v>4487</v>
      </c>
    </row>
    <row r="254" spans="1:13" s="220" customFormat="1" ht="57">
      <c r="A254" s="193" t="s">
        <v>2993</v>
      </c>
      <c r="B254" s="193" t="s">
        <v>2431</v>
      </c>
      <c r="C254" s="193" t="s">
        <v>2874</v>
      </c>
      <c r="D254" s="193" t="s">
        <v>3038</v>
      </c>
      <c r="E254" s="193" t="s">
        <v>3663</v>
      </c>
      <c r="F254" s="193" t="s">
        <v>3664</v>
      </c>
      <c r="G254" s="193" t="s">
        <v>3665</v>
      </c>
      <c r="H254" s="193" t="s">
        <v>3666</v>
      </c>
      <c r="I254" s="193" t="s">
        <v>3667</v>
      </c>
      <c r="J254" s="193" t="s">
        <v>3668</v>
      </c>
      <c r="K254" s="193" t="s">
        <v>3669</v>
      </c>
      <c r="L254" s="193" t="s">
        <v>3670</v>
      </c>
      <c r="M254" s="193" t="s">
        <v>4488</v>
      </c>
    </row>
    <row r="255" spans="1:13" s="220" customFormat="1" ht="71.25">
      <c r="A255" s="193" t="s">
        <v>2994</v>
      </c>
      <c r="B255" s="193" t="s">
        <v>2431</v>
      </c>
      <c r="C255" s="193" t="s">
        <v>2875</v>
      </c>
      <c r="D255" s="193" t="s">
        <v>2911</v>
      </c>
      <c r="E255" s="193" t="s">
        <v>3671</v>
      </c>
      <c r="F255" s="193" t="s">
        <v>3672</v>
      </c>
      <c r="G255" s="193" t="s">
        <v>3673</v>
      </c>
      <c r="H255" s="193" t="s">
        <v>3674</v>
      </c>
      <c r="I255" s="193" t="s">
        <v>3675</v>
      </c>
      <c r="J255" s="193" t="s">
        <v>3676</v>
      </c>
      <c r="K255" s="193" t="s">
        <v>3677</v>
      </c>
      <c r="L255" s="193" t="s">
        <v>3678</v>
      </c>
      <c r="M255" s="193" t="s">
        <v>4489</v>
      </c>
    </row>
    <row r="256" spans="1:13" s="220" customFormat="1" ht="71.25">
      <c r="A256" s="193" t="s">
        <v>2995</v>
      </c>
      <c r="B256" s="193" t="s">
        <v>2431</v>
      </c>
      <c r="C256" s="193" t="s">
        <v>2876</v>
      </c>
      <c r="D256" s="193" t="s">
        <v>2912</v>
      </c>
      <c r="E256" s="193" t="s">
        <v>3679</v>
      </c>
      <c r="F256" s="193" t="s">
        <v>3680</v>
      </c>
      <c r="G256" s="193" t="s">
        <v>3681</v>
      </c>
      <c r="H256" s="193" t="s">
        <v>3682</v>
      </c>
      <c r="I256" s="193" t="s">
        <v>3683</v>
      </c>
      <c r="J256" s="193" t="s">
        <v>3684</v>
      </c>
      <c r="K256" s="193" t="s">
        <v>3685</v>
      </c>
      <c r="L256" s="193" t="s">
        <v>3686</v>
      </c>
      <c r="M256" s="193" t="s">
        <v>4490</v>
      </c>
    </row>
    <row r="257" spans="1:13" s="220" customFormat="1" ht="71.25">
      <c r="A257" s="193" t="s">
        <v>2996</v>
      </c>
      <c r="B257" s="193" t="s">
        <v>2431</v>
      </c>
      <c r="C257" s="193" t="s">
        <v>2877</v>
      </c>
      <c r="D257" s="193" t="s">
        <v>2913</v>
      </c>
      <c r="E257" s="193" t="s">
        <v>3687</v>
      </c>
      <c r="F257" s="193" t="s">
        <v>3688</v>
      </c>
      <c r="G257" s="193" t="s">
        <v>3689</v>
      </c>
      <c r="H257" s="193" t="s">
        <v>3690</v>
      </c>
      <c r="I257" s="193" t="s">
        <v>3691</v>
      </c>
      <c r="J257" s="193" t="s">
        <v>3692</v>
      </c>
      <c r="K257" s="193" t="s">
        <v>3693</v>
      </c>
      <c r="L257" s="193" t="s">
        <v>3694</v>
      </c>
      <c r="M257" s="193" t="s">
        <v>4491</v>
      </c>
    </row>
    <row r="258" spans="1:13" s="220" customFormat="1" ht="71.25">
      <c r="A258" s="193" t="s">
        <v>2997</v>
      </c>
      <c r="B258" s="193" t="s">
        <v>2431</v>
      </c>
      <c r="C258" s="193" t="s">
        <v>2942</v>
      </c>
      <c r="D258" s="193" t="s">
        <v>2914</v>
      </c>
      <c r="E258" s="193" t="s">
        <v>3695</v>
      </c>
      <c r="F258" s="193" t="s">
        <v>3696</v>
      </c>
      <c r="G258" s="193" t="s">
        <v>3697</v>
      </c>
      <c r="H258" s="193" t="s">
        <v>3698</v>
      </c>
      <c r="I258" s="193" t="s">
        <v>3699</v>
      </c>
      <c r="J258" s="193" t="s">
        <v>3700</v>
      </c>
      <c r="K258" s="193" t="s">
        <v>3701</v>
      </c>
      <c r="L258" s="193" t="s">
        <v>3702</v>
      </c>
      <c r="M258" s="193" t="s">
        <v>4492</v>
      </c>
    </row>
    <row r="259" spans="1:13" s="220" customFormat="1" ht="85.5">
      <c r="A259" s="193" t="s">
        <v>2998</v>
      </c>
      <c r="B259" s="193" t="s">
        <v>2431</v>
      </c>
      <c r="C259" s="193" t="s">
        <v>2948</v>
      </c>
      <c r="D259" s="193" t="s">
        <v>2915</v>
      </c>
      <c r="E259" s="193" t="s">
        <v>3703</v>
      </c>
      <c r="F259" s="193" t="s">
        <v>3704</v>
      </c>
      <c r="G259" s="193" t="s">
        <v>3705</v>
      </c>
      <c r="H259" s="193" t="s">
        <v>3706</v>
      </c>
      <c r="I259" s="193" t="s">
        <v>3707</v>
      </c>
      <c r="J259" s="193" t="s">
        <v>3708</v>
      </c>
      <c r="K259" s="193" t="s">
        <v>3709</v>
      </c>
      <c r="L259" s="193" t="s">
        <v>3710</v>
      </c>
      <c r="M259" s="193" t="s">
        <v>4493</v>
      </c>
    </row>
    <row r="260" spans="1:13" s="220" customFormat="1" ht="85.5">
      <c r="A260" s="193" t="s">
        <v>2999</v>
      </c>
      <c r="B260" s="193" t="s">
        <v>2431</v>
      </c>
      <c r="C260" s="193" t="s">
        <v>2949</v>
      </c>
      <c r="D260" s="193" t="s">
        <v>2916</v>
      </c>
      <c r="E260" s="193" t="s">
        <v>3711</v>
      </c>
      <c r="F260" s="193" t="s">
        <v>3712</v>
      </c>
      <c r="G260" s="193" t="s">
        <v>3713</v>
      </c>
      <c r="H260" s="193" t="s">
        <v>3714</v>
      </c>
      <c r="I260" s="193" t="s">
        <v>3715</v>
      </c>
      <c r="J260" s="193" t="s">
        <v>3716</v>
      </c>
      <c r="K260" s="193" t="s">
        <v>3717</v>
      </c>
      <c r="L260" s="193" t="s">
        <v>3718</v>
      </c>
      <c r="M260" s="193" t="s">
        <v>4494</v>
      </c>
    </row>
    <row r="261" spans="1:13" s="220" customFormat="1" ht="85.5">
      <c r="A261" s="193" t="s">
        <v>3000</v>
      </c>
      <c r="B261" s="193" t="s">
        <v>2431</v>
      </c>
      <c r="C261" s="193" t="s">
        <v>2950</v>
      </c>
      <c r="D261" s="193" t="s">
        <v>2917</v>
      </c>
      <c r="E261" s="193" t="s">
        <v>3719</v>
      </c>
      <c r="F261" s="193" t="s">
        <v>3720</v>
      </c>
      <c r="G261" s="193" t="s">
        <v>3721</v>
      </c>
      <c r="H261" s="193" t="s">
        <v>3722</v>
      </c>
      <c r="I261" s="193" t="s">
        <v>3723</v>
      </c>
      <c r="J261" s="193" t="s">
        <v>3724</v>
      </c>
      <c r="K261" s="193" t="s">
        <v>3725</v>
      </c>
      <c r="L261" s="193" t="s">
        <v>3726</v>
      </c>
      <c r="M261" s="193" t="s">
        <v>4495</v>
      </c>
    </row>
    <row r="262" spans="1:13" s="220" customFormat="1" ht="85.5">
      <c r="A262" s="193" t="s">
        <v>3001</v>
      </c>
      <c r="B262" s="193" t="s">
        <v>2431</v>
      </c>
      <c r="C262" s="193" t="s">
        <v>2951</v>
      </c>
      <c r="D262" s="193" t="s">
        <v>2918</v>
      </c>
      <c r="E262" s="193" t="s">
        <v>3727</v>
      </c>
      <c r="F262" s="193" t="s">
        <v>3728</v>
      </c>
      <c r="G262" s="193" t="s">
        <v>3729</v>
      </c>
      <c r="H262" s="193" t="s">
        <v>3730</v>
      </c>
      <c r="I262" s="193" t="s">
        <v>3731</v>
      </c>
      <c r="J262" s="193" t="s">
        <v>3732</v>
      </c>
      <c r="K262" s="193" t="s">
        <v>3733</v>
      </c>
      <c r="L262" s="193" t="s">
        <v>3734</v>
      </c>
      <c r="M262" s="193" t="s">
        <v>4496</v>
      </c>
    </row>
    <row r="263" spans="1:13" s="220" customFormat="1" ht="85.5">
      <c r="A263" s="193" t="s">
        <v>3002</v>
      </c>
      <c r="B263" s="193" t="s">
        <v>2431</v>
      </c>
      <c r="C263" s="193" t="s">
        <v>2952</v>
      </c>
      <c r="D263" s="193" t="s">
        <v>2919</v>
      </c>
      <c r="E263" s="193" t="s">
        <v>3735</v>
      </c>
      <c r="F263" s="193" t="s">
        <v>3736</v>
      </c>
      <c r="G263" s="193" t="s">
        <v>3737</v>
      </c>
      <c r="H263" s="193" t="s">
        <v>3738</v>
      </c>
      <c r="I263" s="193" t="s">
        <v>3739</v>
      </c>
      <c r="J263" s="193" t="s">
        <v>3740</v>
      </c>
      <c r="K263" s="193" t="s">
        <v>3741</v>
      </c>
      <c r="L263" s="193" t="s">
        <v>3742</v>
      </c>
      <c r="M263" s="193" t="s">
        <v>4497</v>
      </c>
    </row>
    <row r="264" spans="1:13" s="220" customFormat="1" ht="85.5">
      <c r="A264" s="193" t="s">
        <v>3003</v>
      </c>
      <c r="B264" s="193" t="s">
        <v>2431</v>
      </c>
      <c r="C264" s="221" t="s">
        <v>2953</v>
      </c>
      <c r="D264" s="221" t="s">
        <v>2920</v>
      </c>
      <c r="E264" s="221" t="s">
        <v>3743</v>
      </c>
      <c r="F264" s="221" t="s">
        <v>3744</v>
      </c>
      <c r="G264" s="221" t="s">
        <v>3745</v>
      </c>
      <c r="H264" s="221" t="s">
        <v>3746</v>
      </c>
      <c r="I264" s="221" t="s">
        <v>3747</v>
      </c>
      <c r="J264" s="221" t="s">
        <v>3748</v>
      </c>
      <c r="K264" s="221" t="s">
        <v>3749</v>
      </c>
      <c r="L264" s="221" t="s">
        <v>3750</v>
      </c>
      <c r="M264" s="221" t="s">
        <v>4498</v>
      </c>
    </row>
    <row r="265" spans="1:13" s="220" customFormat="1" ht="85.5">
      <c r="A265" s="193" t="s">
        <v>3004</v>
      </c>
      <c r="B265" s="193" t="s">
        <v>2431</v>
      </c>
      <c r="C265" s="221" t="s">
        <v>2954</v>
      </c>
      <c r="D265" s="193" t="s">
        <v>2921</v>
      </c>
      <c r="E265" s="193" t="s">
        <v>3751</v>
      </c>
      <c r="F265" s="193" t="s">
        <v>3752</v>
      </c>
      <c r="G265" s="193" t="s">
        <v>3753</v>
      </c>
      <c r="H265" s="193" t="s">
        <v>3754</v>
      </c>
      <c r="I265" s="193" t="s">
        <v>3755</v>
      </c>
      <c r="J265" s="193" t="s">
        <v>3756</v>
      </c>
      <c r="K265" s="193" t="s">
        <v>3757</v>
      </c>
      <c r="L265" s="193" t="s">
        <v>3758</v>
      </c>
      <c r="M265" s="193" t="s">
        <v>4499</v>
      </c>
    </row>
    <row r="266" spans="1:13" s="220" customFormat="1" ht="85.5">
      <c r="A266" s="193" t="s">
        <v>3005</v>
      </c>
      <c r="B266" s="193" t="s">
        <v>2431</v>
      </c>
      <c r="C266" s="193" t="s">
        <v>2955</v>
      </c>
      <c r="D266" s="193" t="s">
        <v>2922</v>
      </c>
      <c r="E266" s="193" t="s">
        <v>3759</v>
      </c>
      <c r="F266" s="193" t="s">
        <v>3760</v>
      </c>
      <c r="G266" s="193" t="s">
        <v>3761</v>
      </c>
      <c r="H266" s="193" t="s">
        <v>3762</v>
      </c>
      <c r="I266" s="193" t="s">
        <v>3763</v>
      </c>
      <c r="J266" s="193" t="s">
        <v>3764</v>
      </c>
      <c r="K266" s="193" t="s">
        <v>3765</v>
      </c>
      <c r="L266" s="193" t="s">
        <v>3766</v>
      </c>
      <c r="M266" s="193" t="s">
        <v>4500</v>
      </c>
    </row>
    <row r="267" spans="1:13" s="220" customFormat="1" ht="57">
      <c r="A267" s="193" t="s">
        <v>3006</v>
      </c>
      <c r="B267" s="193" t="s">
        <v>2431</v>
      </c>
      <c r="C267" s="193" t="s">
        <v>2956</v>
      </c>
      <c r="D267" s="193" t="s">
        <v>2450</v>
      </c>
      <c r="E267" s="193" t="s">
        <v>3767</v>
      </c>
      <c r="F267" s="193" t="s">
        <v>3768</v>
      </c>
      <c r="G267" s="193" t="s">
        <v>3769</v>
      </c>
      <c r="H267" s="193" t="s">
        <v>3770</v>
      </c>
      <c r="I267" s="193" t="s">
        <v>3771</v>
      </c>
      <c r="J267" s="193" t="s">
        <v>3772</v>
      </c>
      <c r="K267" s="193" t="s">
        <v>3773</v>
      </c>
      <c r="L267" s="193" t="s">
        <v>3774</v>
      </c>
      <c r="M267" s="193" t="s">
        <v>4501</v>
      </c>
    </row>
    <row r="268" spans="1:13" s="220" customFormat="1" ht="57">
      <c r="A268" s="193" t="s">
        <v>3007</v>
      </c>
      <c r="B268" s="193" t="s">
        <v>2431</v>
      </c>
      <c r="C268" s="193" t="s">
        <v>2957</v>
      </c>
      <c r="D268" s="193" t="s">
        <v>2451</v>
      </c>
      <c r="E268" s="193" t="s">
        <v>3775</v>
      </c>
      <c r="F268" s="193" t="s">
        <v>3776</v>
      </c>
      <c r="G268" s="193" t="s">
        <v>3777</v>
      </c>
      <c r="H268" s="193" t="s">
        <v>3778</v>
      </c>
      <c r="I268" s="193" t="s">
        <v>3779</v>
      </c>
      <c r="J268" s="193" t="s">
        <v>3780</v>
      </c>
      <c r="K268" s="193" t="s">
        <v>3781</v>
      </c>
      <c r="L268" s="193" t="s">
        <v>3782</v>
      </c>
      <c r="M268" s="193" t="s">
        <v>4502</v>
      </c>
    </row>
    <row r="269" spans="1:13" s="220" customFormat="1" ht="57">
      <c r="A269" s="193" t="s">
        <v>3008</v>
      </c>
      <c r="B269" s="193" t="s">
        <v>2431</v>
      </c>
      <c r="C269" s="193" t="s">
        <v>2958</v>
      </c>
      <c r="D269" s="193" t="s">
        <v>2452</v>
      </c>
      <c r="E269" s="193" t="s">
        <v>3783</v>
      </c>
      <c r="F269" s="193" t="s">
        <v>3784</v>
      </c>
      <c r="G269" s="193" t="s">
        <v>3785</v>
      </c>
      <c r="H269" s="193" t="s">
        <v>3786</v>
      </c>
      <c r="I269" s="193" t="s">
        <v>3787</v>
      </c>
      <c r="J269" s="193" t="s">
        <v>3788</v>
      </c>
      <c r="K269" s="193" t="s">
        <v>3789</v>
      </c>
      <c r="L269" s="193" t="s">
        <v>3790</v>
      </c>
      <c r="M269" s="193" t="s">
        <v>4503</v>
      </c>
    </row>
    <row r="270" spans="1:13" s="220" customFormat="1" ht="57">
      <c r="A270" s="193" t="s">
        <v>3009</v>
      </c>
      <c r="B270" s="193" t="s">
        <v>2431</v>
      </c>
      <c r="C270" s="193" t="s">
        <v>2959</v>
      </c>
      <c r="D270" s="193" t="s">
        <v>2453</v>
      </c>
      <c r="E270" s="193" t="s">
        <v>3791</v>
      </c>
      <c r="F270" s="193" t="s">
        <v>3792</v>
      </c>
      <c r="G270" s="193" t="s">
        <v>3793</v>
      </c>
      <c r="H270" s="193" t="s">
        <v>3794</v>
      </c>
      <c r="I270" s="193" t="s">
        <v>3795</v>
      </c>
      <c r="J270" s="193" t="s">
        <v>3796</v>
      </c>
      <c r="K270" s="193" t="s">
        <v>3797</v>
      </c>
      <c r="L270" s="193" t="s">
        <v>3798</v>
      </c>
      <c r="M270" s="193" t="s">
        <v>4504</v>
      </c>
    </row>
    <row r="271" spans="1:13" s="220" customFormat="1" ht="85.5">
      <c r="A271" s="193" t="s">
        <v>3010</v>
      </c>
      <c r="B271" s="193" t="s">
        <v>2431</v>
      </c>
      <c r="C271" s="193" t="s">
        <v>2960</v>
      </c>
      <c r="D271" s="193" t="s">
        <v>2923</v>
      </c>
      <c r="E271" s="193" t="s">
        <v>3799</v>
      </c>
      <c r="F271" s="193" t="s">
        <v>3800</v>
      </c>
      <c r="G271" s="193" t="s">
        <v>3801</v>
      </c>
      <c r="H271" s="193" t="s">
        <v>3802</v>
      </c>
      <c r="I271" s="193" t="s">
        <v>3803</v>
      </c>
      <c r="J271" s="193" t="s">
        <v>3804</v>
      </c>
      <c r="K271" s="193" t="s">
        <v>3805</v>
      </c>
      <c r="L271" s="193" t="s">
        <v>3806</v>
      </c>
      <c r="M271" s="193" t="s">
        <v>4505</v>
      </c>
    </row>
    <row r="272" spans="1:13" s="220" customFormat="1" ht="85.5">
      <c r="A272" s="193" t="s">
        <v>3011</v>
      </c>
      <c r="B272" s="193" t="s">
        <v>2431</v>
      </c>
      <c r="C272" s="193" t="s">
        <v>2961</v>
      </c>
      <c r="D272" s="193" t="s">
        <v>2924</v>
      </c>
      <c r="E272" s="193" t="s">
        <v>3807</v>
      </c>
      <c r="F272" s="193" t="s">
        <v>3808</v>
      </c>
      <c r="G272" s="193" t="s">
        <v>3809</v>
      </c>
      <c r="H272" s="193" t="s">
        <v>3810</v>
      </c>
      <c r="I272" s="193" t="s">
        <v>3811</v>
      </c>
      <c r="J272" s="193" t="s">
        <v>3812</v>
      </c>
      <c r="K272" s="193" t="s">
        <v>3813</v>
      </c>
      <c r="L272" s="193" t="s">
        <v>3814</v>
      </c>
      <c r="M272" s="193" t="s">
        <v>4506</v>
      </c>
    </row>
    <row r="273" spans="1:13" s="220" customFormat="1" ht="85.5">
      <c r="A273" s="193" t="s">
        <v>3012</v>
      </c>
      <c r="B273" s="193" t="s">
        <v>2431</v>
      </c>
      <c r="C273" s="193" t="s">
        <v>2962</v>
      </c>
      <c r="D273" s="193" t="s">
        <v>2925</v>
      </c>
      <c r="E273" s="193" t="s">
        <v>3815</v>
      </c>
      <c r="F273" s="193" t="s">
        <v>3816</v>
      </c>
      <c r="G273" s="193" t="s">
        <v>3817</v>
      </c>
      <c r="H273" s="193" t="s">
        <v>3818</v>
      </c>
      <c r="I273" s="193" t="s">
        <v>3819</v>
      </c>
      <c r="J273" s="193" t="s">
        <v>3820</v>
      </c>
      <c r="K273" s="193" t="s">
        <v>3821</v>
      </c>
      <c r="L273" s="193" t="s">
        <v>3822</v>
      </c>
      <c r="M273" s="193" t="s">
        <v>4507</v>
      </c>
    </row>
    <row r="274" spans="1:13" s="220" customFormat="1" ht="85.5">
      <c r="A274" s="193" t="s">
        <v>3013</v>
      </c>
      <c r="B274" s="193" t="s">
        <v>2431</v>
      </c>
      <c r="C274" s="193" t="s">
        <v>2963</v>
      </c>
      <c r="D274" s="193" t="s">
        <v>2926</v>
      </c>
      <c r="E274" s="193" t="s">
        <v>3823</v>
      </c>
      <c r="F274" s="193" t="s">
        <v>3824</v>
      </c>
      <c r="G274" s="193" t="s">
        <v>3825</v>
      </c>
      <c r="H274" s="193" t="s">
        <v>3826</v>
      </c>
      <c r="I274" s="193" t="s">
        <v>3827</v>
      </c>
      <c r="J274" s="193" t="s">
        <v>3828</v>
      </c>
      <c r="K274" s="193" t="s">
        <v>3829</v>
      </c>
      <c r="L274" s="193" t="s">
        <v>3830</v>
      </c>
      <c r="M274" s="193" t="s">
        <v>4508</v>
      </c>
    </row>
    <row r="275" spans="1:13" s="220" customFormat="1" ht="57">
      <c r="A275" s="193" t="s">
        <v>3014</v>
      </c>
      <c r="B275" s="193" t="s">
        <v>2431</v>
      </c>
      <c r="C275" s="193" t="s">
        <v>2964</v>
      </c>
      <c r="D275" s="193" t="s">
        <v>2927</v>
      </c>
      <c r="E275" s="193" t="s">
        <v>3831</v>
      </c>
      <c r="F275" s="193" t="s">
        <v>3832</v>
      </c>
      <c r="G275" s="193" t="s">
        <v>3833</v>
      </c>
      <c r="H275" s="193" t="s">
        <v>3834</v>
      </c>
      <c r="I275" s="193" t="s">
        <v>3835</v>
      </c>
      <c r="J275" s="193" t="s">
        <v>3836</v>
      </c>
      <c r="K275" s="193" t="s">
        <v>3837</v>
      </c>
      <c r="L275" s="193" t="s">
        <v>3838</v>
      </c>
      <c r="M275" s="193" t="s">
        <v>4509</v>
      </c>
    </row>
    <row r="276" spans="1:13" s="220" customFormat="1" ht="57">
      <c r="A276" s="193" t="s">
        <v>3015</v>
      </c>
      <c r="B276" s="193" t="s">
        <v>2431</v>
      </c>
      <c r="C276" s="193" t="s">
        <v>2965</v>
      </c>
      <c r="D276" s="193" t="s">
        <v>2928</v>
      </c>
      <c r="E276" s="193" t="s">
        <v>3839</v>
      </c>
      <c r="F276" s="193" t="s">
        <v>3840</v>
      </c>
      <c r="G276" s="193" t="s">
        <v>3841</v>
      </c>
      <c r="H276" s="193" t="s">
        <v>3842</v>
      </c>
      <c r="I276" s="193" t="s">
        <v>3843</v>
      </c>
      <c r="J276" s="193" t="s">
        <v>3844</v>
      </c>
      <c r="K276" s="193" t="s">
        <v>3845</v>
      </c>
      <c r="L276" s="193" t="s">
        <v>3846</v>
      </c>
      <c r="M276" s="193" t="s">
        <v>4510</v>
      </c>
    </row>
    <row r="277" spans="1:13" s="220" customFormat="1" ht="57">
      <c r="A277" s="193" t="s">
        <v>3016</v>
      </c>
      <c r="B277" s="193" t="s">
        <v>2431</v>
      </c>
      <c r="C277" s="193" t="s">
        <v>2966</v>
      </c>
      <c r="D277" s="193" t="s">
        <v>2929</v>
      </c>
      <c r="E277" s="193" t="s">
        <v>3847</v>
      </c>
      <c r="F277" s="193" t="s">
        <v>3848</v>
      </c>
      <c r="G277" s="193" t="s">
        <v>3849</v>
      </c>
      <c r="H277" s="193" t="s">
        <v>3850</v>
      </c>
      <c r="I277" s="193" t="s">
        <v>3851</v>
      </c>
      <c r="J277" s="193" t="s">
        <v>3852</v>
      </c>
      <c r="K277" s="193" t="s">
        <v>3853</v>
      </c>
      <c r="L277" s="193" t="s">
        <v>3854</v>
      </c>
      <c r="M277" s="193" t="s">
        <v>4511</v>
      </c>
    </row>
    <row r="278" spans="1:13" s="220" customFormat="1" ht="57">
      <c r="A278" s="193" t="s">
        <v>3017</v>
      </c>
      <c r="B278" s="193" t="s">
        <v>2431</v>
      </c>
      <c r="C278" s="193" t="s">
        <v>2967</v>
      </c>
      <c r="D278" s="193" t="s">
        <v>2930</v>
      </c>
      <c r="E278" s="193" t="s">
        <v>3855</v>
      </c>
      <c r="F278" s="193" t="s">
        <v>3856</v>
      </c>
      <c r="G278" s="193" t="s">
        <v>3857</v>
      </c>
      <c r="H278" s="193" t="s">
        <v>3858</v>
      </c>
      <c r="I278" s="193" t="s">
        <v>3859</v>
      </c>
      <c r="J278" s="193" t="s">
        <v>3860</v>
      </c>
      <c r="K278" s="193" t="s">
        <v>3861</v>
      </c>
      <c r="L278" s="193" t="s">
        <v>3862</v>
      </c>
      <c r="M278" s="193" t="s">
        <v>4512</v>
      </c>
    </row>
    <row r="279" spans="1:13" s="220" customFormat="1" ht="85.5">
      <c r="A279" s="193" t="s">
        <v>3018</v>
      </c>
      <c r="B279" s="193" t="s">
        <v>2431</v>
      </c>
      <c r="C279" s="193" t="s">
        <v>2971</v>
      </c>
      <c r="D279" s="193" t="s">
        <v>2970</v>
      </c>
      <c r="E279" s="193" t="s">
        <v>3863</v>
      </c>
      <c r="F279" s="193" t="s">
        <v>3864</v>
      </c>
      <c r="G279" s="193" t="s">
        <v>3865</v>
      </c>
      <c r="H279" s="193" t="s">
        <v>3866</v>
      </c>
      <c r="I279" s="193" t="s">
        <v>3867</v>
      </c>
      <c r="J279" s="193" t="s">
        <v>3868</v>
      </c>
      <c r="K279" s="193" t="s">
        <v>3869</v>
      </c>
      <c r="L279" s="193" t="s">
        <v>3870</v>
      </c>
      <c r="M279" s="193" t="s">
        <v>4513</v>
      </c>
    </row>
    <row r="280" spans="1:13" s="220" customFormat="1" ht="99.75">
      <c r="A280" s="193" t="s">
        <v>3019</v>
      </c>
      <c r="B280" s="193" t="s">
        <v>2431</v>
      </c>
      <c r="C280" s="193" t="s">
        <v>2972</v>
      </c>
      <c r="D280" s="193" t="s">
        <v>2932</v>
      </c>
      <c r="E280" s="193" t="s">
        <v>3871</v>
      </c>
      <c r="F280" s="193" t="s">
        <v>3872</v>
      </c>
      <c r="G280" s="193" t="s">
        <v>3873</v>
      </c>
      <c r="H280" s="193" t="s">
        <v>3874</v>
      </c>
      <c r="I280" s="193" t="s">
        <v>3875</v>
      </c>
      <c r="J280" s="193" t="s">
        <v>3876</v>
      </c>
      <c r="K280" s="193" t="s">
        <v>3877</v>
      </c>
      <c r="L280" s="193" t="s">
        <v>3878</v>
      </c>
      <c r="M280" s="193" t="s">
        <v>4514</v>
      </c>
    </row>
    <row r="281" spans="1:13" s="220" customFormat="1" ht="71.25">
      <c r="A281" s="193" t="s">
        <v>3020</v>
      </c>
      <c r="B281" s="193" t="s">
        <v>2431</v>
      </c>
      <c r="C281" s="193" t="s">
        <v>2973</v>
      </c>
      <c r="D281" s="193" t="s">
        <v>3040</v>
      </c>
      <c r="E281" s="193" t="s">
        <v>3879</v>
      </c>
      <c r="F281" s="193" t="s">
        <v>3880</v>
      </c>
      <c r="G281" s="193" t="s">
        <v>3881</v>
      </c>
      <c r="H281" s="193" t="s">
        <v>3882</v>
      </c>
      <c r="I281" s="193" t="s">
        <v>3883</v>
      </c>
      <c r="J281" s="193" t="s">
        <v>3884</v>
      </c>
      <c r="K281" s="193" t="s">
        <v>3885</v>
      </c>
      <c r="L281" s="193" t="s">
        <v>3886</v>
      </c>
      <c r="M281" s="193" t="s">
        <v>4515</v>
      </c>
    </row>
    <row r="282" spans="1:13" s="220" customFormat="1" ht="71.25">
      <c r="A282" s="193" t="s">
        <v>3021</v>
      </c>
      <c r="B282" s="193" t="s">
        <v>2431</v>
      </c>
      <c r="C282" s="193" t="s">
        <v>2974</v>
      </c>
      <c r="D282" s="193" t="s">
        <v>2933</v>
      </c>
      <c r="E282" s="193" t="s">
        <v>3887</v>
      </c>
      <c r="F282" s="193" t="s">
        <v>3888</v>
      </c>
      <c r="G282" s="193" t="s">
        <v>3889</v>
      </c>
      <c r="H282" s="193" t="s">
        <v>3890</v>
      </c>
      <c r="I282" s="193" t="s">
        <v>3891</v>
      </c>
      <c r="J282" s="193" t="s">
        <v>3892</v>
      </c>
      <c r="K282" s="193" t="s">
        <v>3893</v>
      </c>
      <c r="L282" s="193" t="s">
        <v>3894</v>
      </c>
      <c r="M282" s="193" t="s">
        <v>4516</v>
      </c>
    </row>
    <row r="283" spans="1:13" s="220" customFormat="1" ht="128.25">
      <c r="A283" s="193" t="s">
        <v>3022</v>
      </c>
      <c r="B283" s="193" t="s">
        <v>2431</v>
      </c>
      <c r="C283" s="193" t="s">
        <v>2975</v>
      </c>
      <c r="D283" s="193" t="s">
        <v>2934</v>
      </c>
      <c r="E283" s="193" t="s">
        <v>3895</v>
      </c>
      <c r="F283" s="193" t="s">
        <v>3896</v>
      </c>
      <c r="G283" s="193" t="s">
        <v>3897</v>
      </c>
      <c r="H283" s="193" t="s">
        <v>3898</v>
      </c>
      <c r="I283" s="193" t="s">
        <v>3899</v>
      </c>
      <c r="J283" s="193" t="s">
        <v>3900</v>
      </c>
      <c r="K283" s="193" t="s">
        <v>3901</v>
      </c>
      <c r="L283" s="193" t="s">
        <v>3902</v>
      </c>
      <c r="M283" s="193" t="s">
        <v>4517</v>
      </c>
    </row>
    <row r="284" spans="1:13" s="220" customFormat="1" ht="71.25">
      <c r="A284" s="193" t="s">
        <v>3023</v>
      </c>
      <c r="B284" s="193" t="s">
        <v>2431</v>
      </c>
      <c r="C284" s="193" t="s">
        <v>2976</v>
      </c>
      <c r="D284" s="193" t="s">
        <v>2931</v>
      </c>
      <c r="E284" s="193" t="s">
        <v>3903</v>
      </c>
      <c r="F284" s="193" t="s">
        <v>3904</v>
      </c>
      <c r="G284" s="193" t="s">
        <v>3905</v>
      </c>
      <c r="H284" s="193" t="s">
        <v>3906</v>
      </c>
      <c r="I284" s="193" t="s">
        <v>3907</v>
      </c>
      <c r="J284" s="193" t="s">
        <v>3908</v>
      </c>
      <c r="K284" s="193" t="s">
        <v>3909</v>
      </c>
      <c r="L284" s="193" t="s">
        <v>3910</v>
      </c>
      <c r="M284" s="193" t="s">
        <v>4518</v>
      </c>
    </row>
    <row r="285" spans="1:13" s="220" customFormat="1" ht="71.25">
      <c r="A285" s="193" t="s">
        <v>3024</v>
      </c>
      <c r="B285" s="193" t="s">
        <v>2431</v>
      </c>
      <c r="C285" s="193" t="s">
        <v>2977</v>
      </c>
      <c r="D285" s="193" t="s">
        <v>2935</v>
      </c>
      <c r="E285" s="193" t="s">
        <v>3911</v>
      </c>
      <c r="F285" s="193" t="s">
        <v>3912</v>
      </c>
      <c r="G285" s="193" t="s">
        <v>3913</v>
      </c>
      <c r="H285" s="193" t="s">
        <v>3914</v>
      </c>
      <c r="I285" s="193" t="s">
        <v>3915</v>
      </c>
      <c r="J285" s="193" t="s">
        <v>3916</v>
      </c>
      <c r="K285" s="193" t="s">
        <v>3917</v>
      </c>
      <c r="L285" s="193" t="s">
        <v>3918</v>
      </c>
      <c r="M285" s="193" t="s">
        <v>4519</v>
      </c>
    </row>
    <row r="286" spans="1:13" s="220" customFormat="1" ht="57">
      <c r="A286" s="193" t="s">
        <v>3025</v>
      </c>
      <c r="B286" s="193" t="s">
        <v>2431</v>
      </c>
      <c r="C286" s="193" t="s">
        <v>2978</v>
      </c>
      <c r="D286" s="193" t="s">
        <v>2936</v>
      </c>
      <c r="E286" s="193" t="s">
        <v>3919</v>
      </c>
      <c r="F286" s="193" t="s">
        <v>3920</v>
      </c>
      <c r="G286" s="193" t="s">
        <v>3921</v>
      </c>
      <c r="H286" s="193" t="s">
        <v>3922</v>
      </c>
      <c r="I286" s="193" t="s">
        <v>3923</v>
      </c>
      <c r="J286" s="193" t="s">
        <v>3924</v>
      </c>
      <c r="K286" s="193" t="s">
        <v>3925</v>
      </c>
      <c r="L286" s="193" t="s">
        <v>3926</v>
      </c>
      <c r="M286" s="193" t="s">
        <v>4520</v>
      </c>
    </row>
    <row r="287" spans="1:13" s="220" customFormat="1" ht="71.25">
      <c r="A287" s="193" t="s">
        <v>3026</v>
      </c>
      <c r="B287" s="193" t="s">
        <v>2431</v>
      </c>
      <c r="C287" s="193" t="s">
        <v>2979</v>
      </c>
      <c r="D287" s="193" t="s">
        <v>2937</v>
      </c>
      <c r="E287" s="193" t="s">
        <v>3927</v>
      </c>
      <c r="F287" s="193" t="s">
        <v>3928</v>
      </c>
      <c r="G287" s="193" t="s">
        <v>3929</v>
      </c>
      <c r="H287" s="193" t="s">
        <v>3930</v>
      </c>
      <c r="I287" s="193" t="s">
        <v>3931</v>
      </c>
      <c r="J287" s="193" t="s">
        <v>3932</v>
      </c>
      <c r="K287" s="193" t="s">
        <v>3933</v>
      </c>
      <c r="L287" s="193" t="s">
        <v>3934</v>
      </c>
      <c r="M287" s="193" t="s">
        <v>4521</v>
      </c>
    </row>
    <row r="288" spans="1:13" s="220" customFormat="1" ht="57">
      <c r="A288" s="193" t="s">
        <v>3027</v>
      </c>
      <c r="B288" s="193" t="s">
        <v>2431</v>
      </c>
      <c r="C288" s="193" t="s">
        <v>2980</v>
      </c>
      <c r="D288" s="193" t="s">
        <v>2938</v>
      </c>
      <c r="E288" s="193" t="s">
        <v>3935</v>
      </c>
      <c r="F288" s="193" t="s">
        <v>3936</v>
      </c>
      <c r="G288" s="193" t="s">
        <v>3937</v>
      </c>
      <c r="H288" s="193" t="s">
        <v>3938</v>
      </c>
      <c r="I288" s="193" t="s">
        <v>3939</v>
      </c>
      <c r="J288" s="193" t="s">
        <v>3940</v>
      </c>
      <c r="K288" s="193" t="s">
        <v>3941</v>
      </c>
      <c r="L288" s="193" t="s">
        <v>3942</v>
      </c>
      <c r="M288" s="193" t="s">
        <v>4522</v>
      </c>
    </row>
    <row r="289" spans="1:13" s="220" customFormat="1" ht="57">
      <c r="A289" s="193" t="s">
        <v>3028</v>
      </c>
      <c r="B289" s="193" t="s">
        <v>2431</v>
      </c>
      <c r="C289" s="193" t="s">
        <v>2981</v>
      </c>
      <c r="D289" s="193" t="s">
        <v>2939</v>
      </c>
      <c r="E289" s="193" t="s">
        <v>3943</v>
      </c>
      <c r="F289" s="193" t="s">
        <v>3944</v>
      </c>
      <c r="G289" s="193" t="s">
        <v>3945</v>
      </c>
      <c r="H289" s="193" t="s">
        <v>3946</v>
      </c>
      <c r="I289" s="193" t="s">
        <v>3947</v>
      </c>
      <c r="J289" s="193" t="s">
        <v>3948</v>
      </c>
      <c r="K289" s="193" t="s">
        <v>3949</v>
      </c>
      <c r="L289" s="193" t="s">
        <v>3950</v>
      </c>
      <c r="M289" s="193" t="s">
        <v>4523</v>
      </c>
    </row>
    <row r="290" spans="1:13" s="220" customFormat="1" ht="60" customHeight="1">
      <c r="A290" s="193" t="s">
        <v>3029</v>
      </c>
      <c r="B290" s="193" t="s">
        <v>2431</v>
      </c>
      <c r="C290" s="193" t="s">
        <v>2982</v>
      </c>
      <c r="D290" s="193" t="s">
        <v>2941</v>
      </c>
      <c r="E290" s="193" t="s">
        <v>3951</v>
      </c>
      <c r="F290" s="193" t="s">
        <v>3952</v>
      </c>
      <c r="G290" s="193" t="s">
        <v>3953</v>
      </c>
      <c r="H290" s="193" t="s">
        <v>3954</v>
      </c>
      <c r="I290" s="193" t="s">
        <v>3955</v>
      </c>
      <c r="J290" s="193" t="s">
        <v>3956</v>
      </c>
      <c r="K290" s="193" t="s">
        <v>3957</v>
      </c>
      <c r="L290" s="193" t="s">
        <v>3958</v>
      </c>
      <c r="M290" s="193" t="s">
        <v>4524</v>
      </c>
    </row>
    <row r="291" spans="1:13" s="220" customFormat="1" ht="60" customHeight="1">
      <c r="A291" s="193"/>
      <c r="B291" s="193"/>
      <c r="C291" s="193"/>
      <c r="D291" s="193" t="s">
        <v>2940</v>
      </c>
      <c r="E291" s="193" t="s">
        <v>3959</v>
      </c>
      <c r="F291" s="193" t="s">
        <v>3960</v>
      </c>
      <c r="G291" s="193" t="s">
        <v>3961</v>
      </c>
      <c r="H291" s="193" t="s">
        <v>3962</v>
      </c>
      <c r="I291" s="193" t="s">
        <v>3963</v>
      </c>
      <c r="J291" s="193" t="s">
        <v>3964</v>
      </c>
      <c r="K291" s="193" t="s">
        <v>3965</v>
      </c>
      <c r="L291" s="193" t="s">
        <v>3966</v>
      </c>
      <c r="M291" s="193" t="s">
        <v>4525</v>
      </c>
    </row>
    <row r="292" spans="1:13" s="220" customFormat="1" ht="57">
      <c r="A292" s="193" t="s">
        <v>3030</v>
      </c>
      <c r="B292" s="193" t="s">
        <v>2431</v>
      </c>
      <c r="C292" s="193" t="s">
        <v>2983</v>
      </c>
      <c r="D292" s="193" t="s">
        <v>3056</v>
      </c>
      <c r="E292" s="193" t="s">
        <v>3967</v>
      </c>
      <c r="F292" s="193" t="s">
        <v>3968</v>
      </c>
      <c r="G292" s="245" t="s">
        <v>4103</v>
      </c>
      <c r="H292" s="193" t="s">
        <v>3969</v>
      </c>
      <c r="I292" s="193" t="s">
        <v>3970</v>
      </c>
      <c r="J292" s="193" t="s">
        <v>3971</v>
      </c>
      <c r="K292" s="193" t="s">
        <v>3972</v>
      </c>
      <c r="L292" s="193" t="s">
        <v>3973</v>
      </c>
      <c r="M292" s="193" t="s">
        <v>4526</v>
      </c>
    </row>
    <row r="293" spans="1:13" s="220" customFormat="1" ht="57">
      <c r="A293" s="193" t="s">
        <v>3524</v>
      </c>
      <c r="B293" s="193" t="s">
        <v>2431</v>
      </c>
      <c r="C293" s="193" t="s">
        <v>3053</v>
      </c>
      <c r="D293" s="193" t="s">
        <v>3057</v>
      </c>
      <c r="E293" s="193" t="s">
        <v>3974</v>
      </c>
      <c r="F293" s="193" t="s">
        <v>3975</v>
      </c>
      <c r="G293" s="245" t="s">
        <v>4104</v>
      </c>
      <c r="H293" s="193" t="s">
        <v>3976</v>
      </c>
      <c r="I293" s="193" t="s">
        <v>3977</v>
      </c>
      <c r="J293" s="193" t="s">
        <v>3978</v>
      </c>
      <c r="K293" s="193" t="s">
        <v>3979</v>
      </c>
      <c r="L293" s="193" t="s">
        <v>3980</v>
      </c>
      <c r="M293" s="193" t="s">
        <v>4527</v>
      </c>
    </row>
    <row r="294" spans="1:13" s="220" customFormat="1" ht="57">
      <c r="A294" s="193" t="s">
        <v>3525</v>
      </c>
      <c r="B294" s="193" t="s">
        <v>2431</v>
      </c>
      <c r="C294" s="193" t="s">
        <v>3054</v>
      </c>
      <c r="D294" s="193" t="s">
        <v>3058</v>
      </c>
      <c r="E294" s="193" t="s">
        <v>3981</v>
      </c>
      <c r="F294" s="193" t="s">
        <v>3982</v>
      </c>
      <c r="G294" s="245" t="s">
        <v>4106</v>
      </c>
      <c r="H294" s="193" t="s">
        <v>3983</v>
      </c>
      <c r="I294" s="193" t="s">
        <v>3984</v>
      </c>
      <c r="J294" s="193" t="s">
        <v>3985</v>
      </c>
      <c r="K294" s="193" t="s">
        <v>3986</v>
      </c>
      <c r="L294" s="193" t="s">
        <v>3987</v>
      </c>
      <c r="M294" s="193" t="s">
        <v>4528</v>
      </c>
    </row>
    <row r="295" spans="1:13" s="220" customFormat="1" ht="71.25">
      <c r="A295" s="193" t="s">
        <v>3526</v>
      </c>
      <c r="B295" s="193" t="s">
        <v>2431</v>
      </c>
      <c r="C295" s="193" t="s">
        <v>3055</v>
      </c>
      <c r="D295" s="193" t="s">
        <v>3059</v>
      </c>
      <c r="E295" s="193" t="s">
        <v>3988</v>
      </c>
      <c r="F295" s="193" t="s">
        <v>3989</v>
      </c>
      <c r="G295" s="245" t="s">
        <v>4105</v>
      </c>
      <c r="H295" s="193" t="s">
        <v>3990</v>
      </c>
      <c r="I295" s="193" t="s">
        <v>3991</v>
      </c>
      <c r="J295" s="193" t="s">
        <v>3992</v>
      </c>
      <c r="K295" s="193" t="s">
        <v>3993</v>
      </c>
      <c r="L295" s="193" t="s">
        <v>3994</v>
      </c>
      <c r="M295" s="193" t="s">
        <v>4529</v>
      </c>
    </row>
    <row r="296" spans="1:13" s="220" customFormat="1" ht="30">
      <c r="A296" s="193" t="str">
        <f t="shared" ref="A296:A304" si="4">B296&amp;C296</f>
        <v>CheckerL62</v>
      </c>
      <c r="B296" s="193" t="s">
        <v>2431</v>
      </c>
      <c r="C296" s="193" t="s">
        <v>4007</v>
      </c>
      <c r="D296" s="193" t="s">
        <v>4006</v>
      </c>
      <c r="E296" s="277" t="s">
        <v>4011</v>
      </c>
      <c r="F296" s="125" t="s">
        <v>4012</v>
      </c>
      <c r="G296" s="273" t="s">
        <v>4102</v>
      </c>
      <c r="H296" s="193" t="s">
        <v>4013</v>
      </c>
      <c r="I296" s="193" t="s">
        <v>4014</v>
      </c>
      <c r="J296" s="193" t="s">
        <v>4015</v>
      </c>
      <c r="K296" s="273" t="s">
        <v>4016</v>
      </c>
      <c r="L296" s="273" t="s">
        <v>4017</v>
      </c>
      <c r="M296" s="193" t="s">
        <v>4530</v>
      </c>
    </row>
    <row r="297" spans="1:13" s="220" customFormat="1" ht="30">
      <c r="A297" s="193" t="str">
        <f t="shared" si="4"/>
        <v>CheckerL63</v>
      </c>
      <c r="B297" s="193" t="s">
        <v>2431</v>
      </c>
      <c r="C297" s="193" t="s">
        <v>4008</v>
      </c>
      <c r="D297" s="193" t="s">
        <v>4006</v>
      </c>
      <c r="E297" s="277" t="s">
        <v>4011</v>
      </c>
      <c r="F297" s="125" t="s">
        <v>4012</v>
      </c>
      <c r="G297" s="273" t="s">
        <v>4102</v>
      </c>
      <c r="H297" s="193" t="s">
        <v>4013</v>
      </c>
      <c r="I297" s="193" t="s">
        <v>4014</v>
      </c>
      <c r="J297" s="193" t="s">
        <v>4015</v>
      </c>
      <c r="K297" s="273" t="s">
        <v>4016</v>
      </c>
      <c r="L297" s="273" t="s">
        <v>4017</v>
      </c>
      <c r="M297" s="193" t="s">
        <v>4530</v>
      </c>
    </row>
    <row r="298" spans="1:13" ht="30">
      <c r="A298" s="193" t="str">
        <f t="shared" si="4"/>
        <v>CheckerL64</v>
      </c>
      <c r="B298" s="193" t="s">
        <v>2431</v>
      </c>
      <c r="C298" s="193" t="s">
        <v>4009</v>
      </c>
      <c r="D298" s="193" t="s">
        <v>4006</v>
      </c>
      <c r="E298" s="277" t="s">
        <v>4011</v>
      </c>
      <c r="F298" s="125" t="s">
        <v>4012</v>
      </c>
      <c r="G298" s="273" t="s">
        <v>4102</v>
      </c>
      <c r="H298" s="193" t="s">
        <v>4013</v>
      </c>
      <c r="I298" s="193" t="s">
        <v>4014</v>
      </c>
      <c r="J298" s="193" t="s">
        <v>4015</v>
      </c>
      <c r="K298" s="273" t="s">
        <v>4016</v>
      </c>
      <c r="L298" s="273" t="s">
        <v>4017</v>
      </c>
      <c r="M298" s="193" t="s">
        <v>4530</v>
      </c>
    </row>
    <row r="299" spans="1:13" ht="30">
      <c r="A299" s="193" t="str">
        <f t="shared" si="4"/>
        <v>CheckerL65</v>
      </c>
      <c r="B299" s="193" t="s">
        <v>2431</v>
      </c>
      <c r="C299" s="193" t="s">
        <v>4010</v>
      </c>
      <c r="D299" s="193" t="s">
        <v>4006</v>
      </c>
      <c r="E299" s="277" t="s">
        <v>4011</v>
      </c>
      <c r="F299" s="125" t="s">
        <v>4012</v>
      </c>
      <c r="G299" s="273" t="s">
        <v>4102</v>
      </c>
      <c r="H299" s="193" t="s">
        <v>4013</v>
      </c>
      <c r="I299" s="193" t="s">
        <v>4014</v>
      </c>
      <c r="J299" s="193" t="s">
        <v>4015</v>
      </c>
      <c r="K299" s="273" t="s">
        <v>4016</v>
      </c>
      <c r="L299" s="273" t="s">
        <v>4017</v>
      </c>
      <c r="M299" s="193" t="s">
        <v>4530</v>
      </c>
    </row>
    <row r="300" spans="1:13" ht="57">
      <c r="A300" s="193" t="str">
        <f t="shared" si="4"/>
        <v>Product ListA1</v>
      </c>
      <c r="B300" s="193" t="s">
        <v>2514</v>
      </c>
      <c r="C300" s="193" t="s">
        <v>1185</v>
      </c>
      <c r="D300" s="278" t="s">
        <v>1209</v>
      </c>
      <c r="E300" s="195" t="s">
        <v>469</v>
      </c>
      <c r="F300" s="195" t="s">
        <v>623</v>
      </c>
      <c r="G300" s="193" t="s">
        <v>1016</v>
      </c>
      <c r="H300" s="193" t="s">
        <v>704</v>
      </c>
      <c r="I300" s="193" t="s">
        <v>381</v>
      </c>
      <c r="J300" s="279" t="s">
        <v>2589</v>
      </c>
      <c r="K300" s="196" t="s">
        <v>165</v>
      </c>
      <c r="L300" s="276" t="s">
        <v>95</v>
      </c>
      <c r="M300" s="278" t="s">
        <v>4531</v>
      </c>
    </row>
    <row r="301" spans="1:13" ht="17.25">
      <c r="A301" s="193" t="str">
        <f t="shared" si="4"/>
        <v>Product ListB5</v>
      </c>
      <c r="B301" s="193" t="s">
        <v>2514</v>
      </c>
      <c r="C301" s="193" t="s">
        <v>1815</v>
      </c>
      <c r="D301" s="278" t="s">
        <v>925</v>
      </c>
      <c r="E301" s="195" t="s">
        <v>2744</v>
      </c>
      <c r="F301" s="195" t="s">
        <v>624</v>
      </c>
      <c r="G301" s="193" t="s">
        <v>1017</v>
      </c>
      <c r="H301" s="193" t="s">
        <v>705</v>
      </c>
      <c r="I301" s="193" t="s">
        <v>382</v>
      </c>
      <c r="J301" s="278" t="s">
        <v>2334</v>
      </c>
      <c r="K301" s="196" t="s">
        <v>166</v>
      </c>
      <c r="L301" s="280" t="s">
        <v>96</v>
      </c>
      <c r="M301" s="278" t="s">
        <v>4532</v>
      </c>
    </row>
    <row r="302" spans="1:13" ht="28.5">
      <c r="A302" s="193" t="str">
        <f t="shared" si="4"/>
        <v>Product ListC5</v>
      </c>
      <c r="B302" s="193" t="s">
        <v>2514</v>
      </c>
      <c r="C302" s="193" t="s">
        <v>1836</v>
      </c>
      <c r="D302" s="278" t="s">
        <v>926</v>
      </c>
      <c r="E302" s="195" t="s">
        <v>470</v>
      </c>
      <c r="F302" s="195" t="s">
        <v>625</v>
      </c>
      <c r="G302" s="193" t="s">
        <v>1018</v>
      </c>
      <c r="H302" s="193" t="s">
        <v>706</v>
      </c>
      <c r="I302" s="193" t="s">
        <v>383</v>
      </c>
      <c r="J302" s="278" t="s">
        <v>1798</v>
      </c>
      <c r="K302" s="196" t="s">
        <v>167</v>
      </c>
      <c r="L302" s="280" t="s">
        <v>97</v>
      </c>
      <c r="M302" s="278" t="s">
        <v>4533</v>
      </c>
    </row>
    <row r="303" spans="1:13" ht="28.5">
      <c r="A303" s="193" t="str">
        <f t="shared" si="4"/>
        <v>Product ListD5</v>
      </c>
      <c r="B303" s="193" t="s">
        <v>2514</v>
      </c>
      <c r="C303" s="193" t="s">
        <v>2515</v>
      </c>
      <c r="D303" s="278" t="s">
        <v>1471</v>
      </c>
      <c r="E303" s="193" t="s">
        <v>471</v>
      </c>
      <c r="F303" s="195" t="s">
        <v>2000</v>
      </c>
      <c r="G303" s="193" t="s">
        <v>1779</v>
      </c>
      <c r="H303" s="193" t="s">
        <v>1780</v>
      </c>
      <c r="I303" s="193" t="s">
        <v>1781</v>
      </c>
      <c r="J303" s="278" t="s">
        <v>1912</v>
      </c>
      <c r="K303" s="196" t="s">
        <v>1782</v>
      </c>
      <c r="L303" s="280" t="s">
        <v>862</v>
      </c>
      <c r="M303" s="278" t="s">
        <v>4432</v>
      </c>
    </row>
    <row r="304" spans="1:13" ht="28.5">
      <c r="A304" s="193" t="str">
        <f t="shared" si="4"/>
        <v>GeneralCpy</v>
      </c>
      <c r="B304" s="193" t="s">
        <v>902</v>
      </c>
      <c r="C304" s="193" t="s">
        <v>903</v>
      </c>
      <c r="D304" s="193" t="s">
        <v>4642</v>
      </c>
      <c r="E304" s="193" t="s">
        <v>4642</v>
      </c>
      <c r="F304" s="193" t="s">
        <v>4642</v>
      </c>
      <c r="G304" s="193" t="s">
        <v>4642</v>
      </c>
      <c r="H304" s="193" t="s">
        <v>4642</v>
      </c>
      <c r="I304" s="193" t="s">
        <v>4642</v>
      </c>
      <c r="J304" s="193" t="s">
        <v>4642</v>
      </c>
      <c r="K304" s="193" t="s">
        <v>4642</v>
      </c>
      <c r="L304" s="259" t="s">
        <v>190</v>
      </c>
      <c r="M304" s="193" t="s">
        <v>4643</v>
      </c>
    </row>
    <row r="305" spans="1:13">
      <c r="A305" s="193" t="s">
        <v>2878</v>
      </c>
      <c r="B305" s="193" t="s">
        <v>902</v>
      </c>
      <c r="M305" s="193"/>
    </row>
    <row r="306" spans="1:13">
      <c r="M306" s="193"/>
    </row>
    <row r="307" spans="1:13" ht="99.75">
      <c r="A307" s="193" t="s">
        <v>1471</v>
      </c>
      <c r="D307" s="193" t="s">
        <v>4935</v>
      </c>
      <c r="E307" s="193" t="s">
        <v>4945</v>
      </c>
      <c r="F307" s="193" t="s">
        <v>4946</v>
      </c>
      <c r="G307" s="193" t="s">
        <v>4955</v>
      </c>
      <c r="H307" s="193" t="s">
        <v>4956</v>
      </c>
      <c r="I307" s="193" t="s">
        <v>4965</v>
      </c>
      <c r="J307" s="193" t="s">
        <v>4966</v>
      </c>
      <c r="K307" s="193" t="s">
        <v>4975</v>
      </c>
      <c r="L307" s="259" t="s">
        <v>4976</v>
      </c>
      <c r="M307" s="193" t="s">
        <v>4985</v>
      </c>
    </row>
    <row r="308" spans="1:13" ht="28.5">
      <c r="A308" s="193" t="s">
        <v>1471</v>
      </c>
      <c r="D308" s="193" t="s">
        <v>492</v>
      </c>
      <c r="E308" s="193" t="s">
        <v>511</v>
      </c>
      <c r="F308" s="193" t="s">
        <v>516</v>
      </c>
      <c r="G308" s="196" t="s">
        <v>512</v>
      </c>
      <c r="H308" s="193" t="s">
        <v>185</v>
      </c>
      <c r="I308" s="193" t="s">
        <v>384</v>
      </c>
      <c r="J308" s="193" t="s">
        <v>2590</v>
      </c>
      <c r="K308" s="193" t="s">
        <v>173</v>
      </c>
      <c r="L308" s="267" t="s">
        <v>509</v>
      </c>
      <c r="M308" s="193" t="s">
        <v>4534</v>
      </c>
    </row>
    <row r="309" spans="1:13" ht="42.75">
      <c r="A309" s="193" t="s">
        <v>1471</v>
      </c>
      <c r="D309" s="193" t="s">
        <v>493</v>
      </c>
      <c r="E309" s="193" t="s">
        <v>494</v>
      </c>
      <c r="F309" s="193" t="s">
        <v>517</v>
      </c>
      <c r="G309" s="196" t="s">
        <v>513</v>
      </c>
      <c r="H309" s="193" t="s">
        <v>186</v>
      </c>
      <c r="I309" s="193" t="s">
        <v>385</v>
      </c>
      <c r="J309" s="193" t="s">
        <v>2612</v>
      </c>
      <c r="K309" s="193" t="s">
        <v>174</v>
      </c>
      <c r="L309" s="267" t="s">
        <v>495</v>
      </c>
      <c r="M309" s="193" t="s">
        <v>4535</v>
      </c>
    </row>
    <row r="310" spans="1:13" ht="99.75">
      <c r="A310" s="193" t="s">
        <v>1471</v>
      </c>
      <c r="D310" s="193" t="s">
        <v>486</v>
      </c>
      <c r="E310" s="193" t="s">
        <v>487</v>
      </c>
      <c r="F310" s="193" t="s">
        <v>488</v>
      </c>
      <c r="G310" s="196" t="s">
        <v>514</v>
      </c>
      <c r="H310" s="193" t="s">
        <v>187</v>
      </c>
      <c r="I310" s="193" t="s">
        <v>386</v>
      </c>
      <c r="J310" s="193" t="s">
        <v>489</v>
      </c>
      <c r="K310" s="193" t="s">
        <v>490</v>
      </c>
      <c r="L310" s="267" t="s">
        <v>491</v>
      </c>
      <c r="M310" s="193" t="s">
        <v>4536</v>
      </c>
    </row>
    <row r="311" spans="1:13" ht="42.75">
      <c r="A311" s="193" t="s">
        <v>1471</v>
      </c>
      <c r="D311" s="193" t="s">
        <v>475</v>
      </c>
      <c r="E311" s="193" t="s">
        <v>476</v>
      </c>
      <c r="F311" s="193" t="s">
        <v>518</v>
      </c>
      <c r="G311" s="196" t="s">
        <v>477</v>
      </c>
      <c r="H311" s="193" t="s">
        <v>188</v>
      </c>
      <c r="I311" s="193" t="s">
        <v>387</v>
      </c>
      <c r="J311" s="193" t="s">
        <v>2591</v>
      </c>
      <c r="K311" s="193" t="s">
        <v>177</v>
      </c>
      <c r="L311" s="267" t="s">
        <v>510</v>
      </c>
      <c r="M311" s="193" t="s">
        <v>4537</v>
      </c>
    </row>
    <row r="312" spans="1:13" ht="42.75">
      <c r="A312" s="193" t="s">
        <v>1471</v>
      </c>
      <c r="D312" s="193" t="s">
        <v>478</v>
      </c>
      <c r="E312" s="193" t="s">
        <v>479</v>
      </c>
      <c r="F312" s="193" t="s">
        <v>519</v>
      </c>
      <c r="G312" s="196" t="s">
        <v>480</v>
      </c>
      <c r="H312" s="193" t="s">
        <v>189</v>
      </c>
      <c r="I312" s="193" t="s">
        <v>388</v>
      </c>
      <c r="J312" s="193" t="s">
        <v>2592</v>
      </c>
      <c r="K312" s="193" t="s">
        <v>175</v>
      </c>
      <c r="L312" s="267" t="s">
        <v>481</v>
      </c>
      <c r="M312" s="193" t="s">
        <v>4538</v>
      </c>
    </row>
    <row r="313" spans="1:13" ht="156.75">
      <c r="A313" s="193" t="s">
        <v>1471</v>
      </c>
      <c r="D313" s="193" t="s">
        <v>485</v>
      </c>
      <c r="E313" s="193" t="s">
        <v>482</v>
      </c>
      <c r="F313" s="193" t="s">
        <v>520</v>
      </c>
      <c r="G313" s="196" t="s">
        <v>515</v>
      </c>
      <c r="H313" s="193" t="s">
        <v>483</v>
      </c>
      <c r="I313" s="193" t="s">
        <v>389</v>
      </c>
      <c r="J313" s="193" t="s">
        <v>2593</v>
      </c>
      <c r="K313" s="193" t="s">
        <v>176</v>
      </c>
      <c r="L313" s="267" t="s">
        <v>484</v>
      </c>
      <c r="M313" s="193" t="s">
        <v>4539</v>
      </c>
    </row>
  </sheetData>
  <phoneticPr fontId="3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Revision</vt:lpstr>
      <vt:lpstr>Instructions</vt:lpstr>
      <vt:lpstr>Definitions</vt:lpstr>
      <vt:lpstr>Declaration</vt:lpstr>
      <vt:lpstr>Smelter List</vt:lpstr>
      <vt:lpstr>Checker</vt:lpstr>
      <vt:lpstr>Product List</vt:lpstr>
      <vt:lpstr>Smelter Reference List</vt:lpstr>
      <vt:lpstr>L</vt:lpstr>
      <vt:lpstr>C</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vt:lpstr>
      <vt:lpstr>SmelterIdetifiedForMetal</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brian</cp:lastModifiedBy>
  <cp:lastPrinted>2015-04-21T20:47:43Z</cp:lastPrinted>
  <dcterms:created xsi:type="dcterms:W3CDTF">2010-06-21T21:00:23Z</dcterms:created>
  <dcterms:modified xsi:type="dcterms:W3CDTF">2017-01-30T17:35:19Z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